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atbv_\Downloads\Licitação\TERCEIRIZAÇÃO - AUDITORIA SAÚDE\"/>
    </mc:Choice>
  </mc:AlternateContent>
  <xr:revisionPtr revIDLastSave="0" documentId="13_ncr:1_{44EF3842-AB74-4023-A9E5-3552B5B206F8}" xr6:coauthVersionLast="45" xr6:coauthVersionMax="45" xr10:uidLastSave="{00000000-0000-0000-0000-000000000000}"/>
  <bookViews>
    <workbookView xWindow="-24120" yWindow="-120" windowWidth="24240" windowHeight="13140" tabRatio="500" firstSheet="2" activeTab="4" xr2:uid="{00000000-000D-0000-FFFF-FFFF00000000}"/>
  </bookViews>
  <sheets>
    <sheet name="Custo por trabalhador" sheetId="1" state="hidden" r:id="rId1"/>
    <sheet name="Planilha de Custos - LR" sheetId="2" state="hidden" r:id="rId2"/>
    <sheet name="Planilha - LP - MÉDICOS" sheetId="3" r:id="rId3"/>
    <sheet name="Planilha - LP - ENFERMEIRAS" sheetId="4" r:id="rId4"/>
    <sheet name="Planilha - LP - FATURISTA" sheetId="5" r:id="rId5"/>
    <sheet name="Planilha Custos - Quadro global" sheetId="6" r:id="rId6"/>
    <sheet name="Planilha modelo" sheetId="7" state="hidden" r:id="rId7"/>
    <sheet name="LPres - RASCUNHO" sheetId="8" state="hidden" r:id="rId8"/>
    <sheet name="Memória de Cálculo" sheetId="9" state="hidden" r:id="rId9"/>
  </sheets>
  <definedNames>
    <definedName name="_xlnm.Print_Area" localSheetId="7">'LPres - RASCUNHO'!$A$1:$J$220</definedName>
    <definedName name="_xlnm.Print_Area" localSheetId="3">'Planilha - LP - ENFERMEIRAS'!$A$1:$H$193</definedName>
    <definedName name="_xlnm.Print_Area" localSheetId="4">'Planilha - LP - FATURISTA'!$A$1:$H$191</definedName>
    <definedName name="_xlnm.Print_Area" localSheetId="2">'Planilha - LP - MÉDICOS'!$A$1:$H$191</definedName>
    <definedName name="_xlnm.Print_Area" localSheetId="5">'Planilha Custos - Quadro global'!$A$1:$D$35</definedName>
    <definedName name="_xlnm.Print_Area" localSheetId="1">'Planilha de Custos - LR'!$A$1:$J$199</definedName>
    <definedName name="_xlnm.Print_Area" localSheetId="6">'Planilha modelo'!$A$1:$I$208</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153" i="9" l="1"/>
  <c r="C151" i="9"/>
  <c r="C150" i="9"/>
  <c r="C149" i="9"/>
  <c r="C64" i="9"/>
  <c r="C63" i="9"/>
  <c r="C68" i="9" s="1"/>
  <c r="C76" i="9" s="1"/>
  <c r="C57" i="9"/>
  <c r="C42" i="9"/>
  <c r="D41" i="9"/>
  <c r="C33" i="9"/>
  <c r="C86" i="9" s="1"/>
  <c r="G203" i="8"/>
  <c r="C203" i="8"/>
  <c r="G202" i="8"/>
  <c r="C202" i="8"/>
  <c r="G201" i="8"/>
  <c r="C201" i="8"/>
  <c r="G200" i="8"/>
  <c r="C200" i="8"/>
  <c r="G199" i="8"/>
  <c r="C199" i="8"/>
  <c r="G198" i="8"/>
  <c r="C198" i="8"/>
  <c r="D178" i="8"/>
  <c r="D173" i="8"/>
  <c r="J153" i="8"/>
  <c r="I153" i="8"/>
  <c r="G153" i="8"/>
  <c r="J145" i="8"/>
  <c r="I145" i="8"/>
  <c r="H145" i="8"/>
  <c r="H153" i="8" s="1"/>
  <c r="G145" i="8"/>
  <c r="F145" i="8"/>
  <c r="F153" i="8" s="1"/>
  <c r="E145" i="8"/>
  <c r="E153" i="8" s="1"/>
  <c r="J91" i="8"/>
  <c r="I91" i="8"/>
  <c r="H91" i="8"/>
  <c r="G91" i="8"/>
  <c r="F91" i="8"/>
  <c r="E91" i="8"/>
  <c r="I90" i="8"/>
  <c r="G90" i="8"/>
  <c r="J85" i="8"/>
  <c r="I85" i="8"/>
  <c r="H85" i="8"/>
  <c r="G85" i="8"/>
  <c r="F85" i="8"/>
  <c r="E85" i="8"/>
  <c r="E84" i="8"/>
  <c r="D77" i="8"/>
  <c r="J49" i="8"/>
  <c r="H49" i="8"/>
  <c r="I45" i="8"/>
  <c r="G45" i="8"/>
  <c r="G47" i="8" s="1"/>
  <c r="J44" i="8"/>
  <c r="J84" i="8" s="1"/>
  <c r="J92" i="8" s="1"/>
  <c r="J101" i="8" s="1"/>
  <c r="I44" i="8"/>
  <c r="I49" i="8" s="1"/>
  <c r="H44" i="8"/>
  <c r="H90" i="8" s="1"/>
  <c r="G44" i="8"/>
  <c r="F44" i="8"/>
  <c r="F90" i="8" s="1"/>
  <c r="E44" i="8"/>
  <c r="G200" i="7"/>
  <c r="C200" i="7"/>
  <c r="G199" i="7"/>
  <c r="G198" i="7"/>
  <c r="G197" i="7"/>
  <c r="G196" i="7"/>
  <c r="G195" i="7"/>
  <c r="D195" i="7"/>
  <c r="F195" i="7" s="1"/>
  <c r="H195" i="7" s="1"/>
  <c r="C195" i="7"/>
  <c r="M190" i="7"/>
  <c r="M189" i="7"/>
  <c r="M188" i="7"/>
  <c r="M187" i="7"/>
  <c r="G187" i="7"/>
  <c r="M186" i="7"/>
  <c r="M185" i="7"/>
  <c r="M184" i="7"/>
  <c r="M183" i="7"/>
  <c r="D177" i="7"/>
  <c r="D172" i="7"/>
  <c r="I163" i="7"/>
  <c r="H163" i="7"/>
  <c r="H187" i="7" s="1"/>
  <c r="G163" i="7"/>
  <c r="F163" i="7"/>
  <c r="H152" i="7"/>
  <c r="F151" i="7"/>
  <c r="G148" i="7"/>
  <c r="G157" i="7" s="1"/>
  <c r="G167" i="7" s="1"/>
  <c r="G181" i="7" s="1"/>
  <c r="C197" i="7" s="1"/>
  <c r="J143" i="7"/>
  <c r="J152" i="7" s="1"/>
  <c r="I143" i="7"/>
  <c r="I152" i="7" s="1"/>
  <c r="H143" i="7"/>
  <c r="G143" i="7"/>
  <c r="G152" i="7" s="1"/>
  <c r="F143" i="7"/>
  <c r="F152" i="7" s="1"/>
  <c r="J134" i="7"/>
  <c r="I134" i="7"/>
  <c r="H134" i="7"/>
  <c r="G134" i="7"/>
  <c r="F134" i="7"/>
  <c r="I129" i="7"/>
  <c r="H129" i="7"/>
  <c r="G129" i="7"/>
  <c r="J86" i="7"/>
  <c r="J80" i="7"/>
  <c r="G77" i="7"/>
  <c r="G92" i="7" s="1"/>
  <c r="G102" i="7" s="1"/>
  <c r="G116" i="7" s="1"/>
  <c r="G140" i="7" s="1"/>
  <c r="D72" i="7"/>
  <c r="I62" i="7"/>
  <c r="I77" i="7" s="1"/>
  <c r="I92" i="7" s="1"/>
  <c r="I102" i="7" s="1"/>
  <c r="I116" i="7" s="1"/>
  <c r="I140" i="7" s="1"/>
  <c r="I148" i="7" s="1"/>
  <c r="I157" i="7" s="1"/>
  <c r="I167" i="7" s="1"/>
  <c r="I181" i="7" s="1"/>
  <c r="C199" i="7" s="1"/>
  <c r="J44" i="7"/>
  <c r="J43" i="7"/>
  <c r="J39" i="7"/>
  <c r="J40" i="7" s="1"/>
  <c r="J42" i="7" s="1"/>
  <c r="I39" i="7"/>
  <c r="I40" i="7" s="1"/>
  <c r="H39" i="7"/>
  <c r="H44" i="7" s="1"/>
  <c r="G39" i="7"/>
  <c r="F39" i="7"/>
  <c r="F79" i="7" s="1"/>
  <c r="F87" i="7" s="1"/>
  <c r="F96" i="7" s="1"/>
  <c r="I37" i="7"/>
  <c r="I53" i="7" s="1"/>
  <c r="H37" i="7"/>
  <c r="H53" i="7" s="1"/>
  <c r="H62" i="7" s="1"/>
  <c r="H77" i="7" s="1"/>
  <c r="H92" i="7" s="1"/>
  <c r="H102" i="7" s="1"/>
  <c r="H116" i="7" s="1"/>
  <c r="H140" i="7" s="1"/>
  <c r="H148" i="7" s="1"/>
  <c r="H157" i="7" s="1"/>
  <c r="H167" i="7" s="1"/>
  <c r="H181" i="7" s="1"/>
  <c r="C198" i="7" s="1"/>
  <c r="G37" i="7"/>
  <c r="G53" i="7" s="1"/>
  <c r="G62" i="7" s="1"/>
  <c r="F37" i="7"/>
  <c r="F53" i="7" s="1"/>
  <c r="F62" i="7" s="1"/>
  <c r="F77" i="7" s="1"/>
  <c r="F92" i="7" s="1"/>
  <c r="F102" i="7" s="1"/>
  <c r="F116" i="7" s="1"/>
  <c r="I4" i="7"/>
  <c r="C31" i="6"/>
  <c r="C30" i="6"/>
  <c r="C29" i="6"/>
  <c r="A29" i="6"/>
  <c r="C28" i="6"/>
  <c r="A28" i="6"/>
  <c r="C27" i="6"/>
  <c r="A27" i="6"/>
  <c r="D18" i="6"/>
  <c r="D14" i="6"/>
  <c r="G191" i="5"/>
  <c r="E191" i="5"/>
  <c r="C191" i="5"/>
  <c r="H183" i="5"/>
  <c r="F173" i="5"/>
  <c r="F168" i="5"/>
  <c r="H159" i="5"/>
  <c r="H139" i="5"/>
  <c r="H148" i="5" s="1"/>
  <c r="H76" i="5"/>
  <c r="F68" i="5"/>
  <c r="H35" i="5"/>
  <c r="H75" i="5" s="1"/>
  <c r="H83" i="5" s="1"/>
  <c r="H92" i="5" s="1"/>
  <c r="H33" i="5"/>
  <c r="H49" i="5" s="1"/>
  <c r="H58" i="5" s="1"/>
  <c r="H73" i="5" s="1"/>
  <c r="H88" i="5" s="1"/>
  <c r="H98" i="5" s="1"/>
  <c r="H112" i="5" s="1"/>
  <c r="G25" i="5"/>
  <c r="G193" i="4"/>
  <c r="E193" i="4"/>
  <c r="C193" i="4"/>
  <c r="G192" i="4"/>
  <c r="E192" i="4"/>
  <c r="C192" i="4"/>
  <c r="H184" i="4"/>
  <c r="F174" i="4"/>
  <c r="F169" i="4"/>
  <c r="H160" i="4"/>
  <c r="G160" i="4"/>
  <c r="G184" i="4" s="1"/>
  <c r="H140" i="4"/>
  <c r="H149" i="4" s="1"/>
  <c r="G140" i="4"/>
  <c r="G149" i="4" s="1"/>
  <c r="H77" i="4"/>
  <c r="G77" i="4"/>
  <c r="F69" i="4"/>
  <c r="H38" i="4"/>
  <c r="H36" i="4"/>
  <c r="G36" i="4"/>
  <c r="H34" i="4"/>
  <c r="H50" i="4" s="1"/>
  <c r="H59" i="4" s="1"/>
  <c r="H74" i="4" s="1"/>
  <c r="H89" i="4" s="1"/>
  <c r="H99" i="4" s="1"/>
  <c r="H113" i="4" s="1"/>
  <c r="G34" i="4"/>
  <c r="G50" i="4" s="1"/>
  <c r="G59" i="4" s="1"/>
  <c r="G74" i="4" s="1"/>
  <c r="G89" i="4" s="1"/>
  <c r="G99" i="4" s="1"/>
  <c r="G113" i="4" s="1"/>
  <c r="G26" i="4"/>
  <c r="G191" i="3"/>
  <c r="E191" i="3"/>
  <c r="C191" i="3"/>
  <c r="H183" i="3"/>
  <c r="F173" i="3"/>
  <c r="F168" i="3"/>
  <c r="H159" i="3"/>
  <c r="H139" i="3"/>
  <c r="H148" i="3" s="1"/>
  <c r="H83" i="3"/>
  <c r="H92" i="3" s="1"/>
  <c r="H75" i="3"/>
  <c r="F68" i="3"/>
  <c r="H49" i="3"/>
  <c r="H58" i="3" s="1"/>
  <c r="H73" i="3" s="1"/>
  <c r="H88" i="3" s="1"/>
  <c r="H98" i="3" s="1"/>
  <c r="H112" i="3" s="1"/>
  <c r="H37" i="3"/>
  <c r="H42" i="3" s="1"/>
  <c r="H35" i="3"/>
  <c r="H33" i="3"/>
  <c r="G25" i="3"/>
  <c r="G191" i="2"/>
  <c r="C191" i="2"/>
  <c r="G190" i="2"/>
  <c r="C190" i="2"/>
  <c r="G189" i="2"/>
  <c r="C189" i="2"/>
  <c r="G188" i="2"/>
  <c r="C188" i="2"/>
  <c r="G187" i="2"/>
  <c r="C187" i="2"/>
  <c r="G186" i="2"/>
  <c r="C186" i="2"/>
  <c r="D168" i="2"/>
  <c r="D163" i="2"/>
  <c r="J146" i="2"/>
  <c r="E146" i="2"/>
  <c r="J138" i="2"/>
  <c r="I138" i="2"/>
  <c r="I146" i="2" s="1"/>
  <c r="H138" i="2"/>
  <c r="H146" i="2" s="1"/>
  <c r="G138" i="2"/>
  <c r="G146" i="2" s="1"/>
  <c r="F138" i="2"/>
  <c r="F146" i="2" s="1"/>
  <c r="E138" i="2"/>
  <c r="J86" i="2"/>
  <c r="I86" i="2"/>
  <c r="H86" i="2"/>
  <c r="G86" i="2"/>
  <c r="F86" i="2"/>
  <c r="E86" i="2"/>
  <c r="E85" i="2"/>
  <c r="J80" i="2"/>
  <c r="I80" i="2"/>
  <c r="H80" i="2"/>
  <c r="G80" i="2"/>
  <c r="F80" i="2"/>
  <c r="E80" i="2"/>
  <c r="H79" i="2"/>
  <c r="D72" i="2"/>
  <c r="J40" i="2"/>
  <c r="J42" i="2" s="1"/>
  <c r="E40" i="2"/>
  <c r="J39" i="2"/>
  <c r="J85" i="2" s="1"/>
  <c r="I39" i="2"/>
  <c r="H39" i="2"/>
  <c r="G39" i="2"/>
  <c r="G85" i="2" s="1"/>
  <c r="F39" i="2"/>
  <c r="F85" i="2" s="1"/>
  <c r="E39" i="2"/>
  <c r="E79" i="2" s="1"/>
  <c r="D543" i="1"/>
  <c r="C533" i="1"/>
  <c r="C532" i="1"/>
  <c r="C524" i="1"/>
  <c r="C523" i="1"/>
  <c r="C522" i="1"/>
  <c r="C521" i="1"/>
  <c r="C520" i="1"/>
  <c r="C519" i="1"/>
  <c r="D508" i="1"/>
  <c r="C508" i="1"/>
  <c r="B508" i="1"/>
  <c r="C507" i="1"/>
  <c r="B507" i="1"/>
  <c r="D507" i="1" s="1"/>
  <c r="C506" i="1"/>
  <c r="D506" i="1" s="1"/>
  <c r="B506" i="1"/>
  <c r="D505" i="1"/>
  <c r="C505" i="1"/>
  <c r="B505" i="1"/>
  <c r="C504" i="1"/>
  <c r="B504" i="1"/>
  <c r="D504" i="1" s="1"/>
  <c r="C543" i="1" s="1"/>
  <c r="D503" i="1"/>
  <c r="B543" i="1" s="1"/>
  <c r="C503" i="1"/>
  <c r="B503" i="1"/>
  <c r="C431" i="1"/>
  <c r="C430" i="1"/>
  <c r="C411" i="1"/>
  <c r="C412" i="1" s="1"/>
  <c r="C413" i="1" s="1"/>
  <c r="C410" i="1"/>
  <c r="C409" i="1"/>
  <c r="C399" i="1"/>
  <c r="D396" i="1"/>
  <c r="C396" i="1"/>
  <c r="B396" i="1"/>
  <c r="C391" i="1"/>
  <c r="G384" i="1"/>
  <c r="D400" i="1" s="1"/>
  <c r="E384" i="1"/>
  <c r="C400" i="1" s="1"/>
  <c r="G383" i="1"/>
  <c r="D399" i="1" s="1"/>
  <c r="F383" i="1"/>
  <c r="E383" i="1"/>
  <c r="B399" i="1" s="1"/>
  <c r="F382" i="1"/>
  <c r="G382" i="1" s="1"/>
  <c r="D398" i="1" s="1"/>
  <c r="E382" i="1"/>
  <c r="C398" i="1" s="1"/>
  <c r="G381" i="1"/>
  <c r="D397" i="1" s="1"/>
  <c r="E381" i="1"/>
  <c r="C397" i="1" s="1"/>
  <c r="G380" i="1"/>
  <c r="E380" i="1"/>
  <c r="G379" i="1"/>
  <c r="D395" i="1" s="1"/>
  <c r="E379" i="1"/>
  <c r="C395" i="1" s="1"/>
  <c r="F378" i="1"/>
  <c r="G378" i="1" s="1"/>
  <c r="D394" i="1" s="1"/>
  <c r="E378" i="1"/>
  <c r="C394" i="1" s="1"/>
  <c r="G377" i="1"/>
  <c r="D393" i="1" s="1"/>
  <c r="E377" i="1"/>
  <c r="C393" i="1" s="1"/>
  <c r="F376" i="1"/>
  <c r="G376" i="1" s="1"/>
  <c r="D392" i="1" s="1"/>
  <c r="E376" i="1"/>
  <c r="C392" i="1" s="1"/>
  <c r="F375" i="1"/>
  <c r="G375" i="1" s="1"/>
  <c r="D391" i="1" s="1"/>
  <c r="E375" i="1"/>
  <c r="B391" i="1" s="1"/>
  <c r="G374" i="1"/>
  <c r="D390" i="1" s="1"/>
  <c r="E374" i="1"/>
  <c r="C390" i="1" s="1"/>
  <c r="F373" i="1"/>
  <c r="G373" i="1" s="1"/>
  <c r="D389" i="1" s="1"/>
  <c r="E373" i="1"/>
  <c r="C389" i="1" s="1"/>
  <c r="C401" i="1" s="1"/>
  <c r="C353" i="1"/>
  <c r="C352" i="1"/>
  <c r="C351" i="1"/>
  <c r="C350" i="1"/>
  <c r="C349" i="1"/>
  <c r="C348" i="1"/>
  <c r="C327" i="1"/>
  <c r="C297" i="1"/>
  <c r="C281" i="1"/>
  <c r="C282" i="1" s="1"/>
  <c r="C283" i="1" s="1"/>
  <c r="C284" i="1" s="1"/>
  <c r="C280" i="1"/>
  <c r="B269" i="1"/>
  <c r="C332" i="1" s="1"/>
  <c r="B268" i="1"/>
  <c r="C300" i="1" s="1"/>
  <c r="E249" i="1"/>
  <c r="D249" i="1"/>
  <c r="E248" i="1"/>
  <c r="D248" i="1"/>
  <c r="E247" i="1"/>
  <c r="D247" i="1"/>
  <c r="E246" i="1"/>
  <c r="D246" i="1"/>
  <c r="E245" i="1"/>
  <c r="D245" i="1"/>
  <c r="E244" i="1"/>
  <c r="D244" i="1"/>
  <c r="B214" i="1"/>
  <c r="C205" i="1"/>
  <c r="C206" i="1" s="1"/>
  <c r="C207" i="1" s="1"/>
  <c r="C208" i="1" s="1"/>
  <c r="C209" i="1" s="1"/>
  <c r="C200" i="1"/>
  <c r="C199" i="1"/>
  <c r="C198" i="1"/>
  <c r="C197" i="1"/>
  <c r="B197" i="1"/>
  <c r="C196" i="1"/>
  <c r="D196" i="1" s="1"/>
  <c r="B205" i="1" s="1"/>
  <c r="D205" i="1" s="1"/>
  <c r="C214" i="1" s="1"/>
  <c r="B196" i="1"/>
  <c r="C195" i="1"/>
  <c r="D195" i="1" s="1"/>
  <c r="B184" i="1"/>
  <c r="B180" i="1"/>
  <c r="E180" i="1" s="1"/>
  <c r="C189" i="1" s="1"/>
  <c r="E179" i="1"/>
  <c r="C188" i="1" s="1"/>
  <c r="B179" i="1"/>
  <c r="E178" i="1"/>
  <c r="C187" i="1" s="1"/>
  <c r="B178" i="1"/>
  <c r="B177" i="1"/>
  <c r="E177" i="1" s="1"/>
  <c r="C186" i="1" s="1"/>
  <c r="B176" i="1"/>
  <c r="E176" i="1" s="1"/>
  <c r="C185" i="1" s="1"/>
  <c r="E175" i="1"/>
  <c r="C184" i="1" s="1"/>
  <c r="B175" i="1"/>
  <c r="C167" i="1"/>
  <c r="C168" i="1" s="1"/>
  <c r="C169" i="1" s="1"/>
  <c r="C170" i="1" s="1"/>
  <c r="C171" i="1" s="1"/>
  <c r="B167" i="1"/>
  <c r="B168" i="1" s="1"/>
  <c r="E166" i="1"/>
  <c r="C148" i="1"/>
  <c r="C147" i="1"/>
  <c r="C146" i="1"/>
  <c r="C145" i="1"/>
  <c r="C144" i="1"/>
  <c r="C143" i="1"/>
  <c r="C139" i="1"/>
  <c r="C138" i="1"/>
  <c r="C137" i="1"/>
  <c r="C136" i="1"/>
  <c r="C135" i="1"/>
  <c r="C134" i="1"/>
  <c r="B130" i="1"/>
  <c r="D106" i="1"/>
  <c r="C106" i="1"/>
  <c r="D105" i="1"/>
  <c r="C105" i="1"/>
  <c r="D104" i="1"/>
  <c r="C104" i="1"/>
  <c r="D103" i="1"/>
  <c r="C103" i="1"/>
  <c r="D102" i="1"/>
  <c r="C102" i="1"/>
  <c r="D101" i="1"/>
  <c r="C101" i="1"/>
  <c r="C97" i="1"/>
  <c r="C96" i="1"/>
  <c r="C95" i="1"/>
  <c r="C94" i="1"/>
  <c r="C93" i="1"/>
  <c r="C92" i="1"/>
  <c r="C88" i="1"/>
  <c r="C87" i="1"/>
  <c r="C86" i="1"/>
  <c r="C85" i="1"/>
  <c r="C84" i="1"/>
  <c r="C83" i="1"/>
  <c r="F75" i="1"/>
  <c r="B75" i="1"/>
  <c r="F74" i="1"/>
  <c r="B74" i="1"/>
  <c r="F73" i="1"/>
  <c r="B73" i="1"/>
  <c r="F72" i="1"/>
  <c r="B72" i="1"/>
  <c r="F71" i="1"/>
  <c r="B71" i="1"/>
  <c r="F70" i="1"/>
  <c r="D70" i="1"/>
  <c r="B70" i="1"/>
  <c r="D46" i="1"/>
  <c r="C46" i="1"/>
  <c r="D45" i="1"/>
  <c r="C45" i="1"/>
  <c r="D42" i="1"/>
  <c r="C42" i="1"/>
  <c r="C41" i="1"/>
  <c r="D29" i="1"/>
  <c r="B41" i="1" s="1"/>
  <c r="E41" i="1" s="1"/>
  <c r="B50" i="1" s="1"/>
  <c r="C29" i="1"/>
  <c r="C30" i="1" s="1"/>
  <c r="D28" i="1"/>
  <c r="B21" i="1"/>
  <c r="D21" i="1" s="1"/>
  <c r="B20" i="1"/>
  <c r="D20" i="1" s="1"/>
  <c r="B169" i="1" l="1"/>
  <c r="E168" i="1"/>
  <c r="B186" i="1" s="1"/>
  <c r="D186" i="1" s="1"/>
  <c r="B246" i="1" s="1"/>
  <c r="C72" i="1"/>
  <c r="C70" i="1"/>
  <c r="G70" i="1" s="1"/>
  <c r="C71" i="1"/>
  <c r="G71" i="1" s="1"/>
  <c r="C73" i="1"/>
  <c r="C74" i="1"/>
  <c r="C75" i="1"/>
  <c r="D184" i="1"/>
  <c r="B244" i="1" s="1"/>
  <c r="C31" i="1"/>
  <c r="D30" i="1"/>
  <c r="D72" i="1" s="1"/>
  <c r="B213" i="1"/>
  <c r="D213" i="1" s="1"/>
  <c r="C244" i="1" s="1"/>
  <c r="B204" i="1"/>
  <c r="D204" i="1" s="1"/>
  <c r="C213" i="1" s="1"/>
  <c r="D401" i="1"/>
  <c r="H125" i="3"/>
  <c r="H136" i="3"/>
  <c r="H144" i="3" s="1"/>
  <c r="H153" i="3" s="1"/>
  <c r="H163" i="3" s="1"/>
  <c r="H177" i="3" s="1"/>
  <c r="E167" i="1"/>
  <c r="B185" i="1" s="1"/>
  <c r="D185" i="1" s="1"/>
  <c r="B245" i="1" s="1"/>
  <c r="F245" i="1" s="1"/>
  <c r="D256" i="1" s="1"/>
  <c r="B394" i="1"/>
  <c r="C418" i="1"/>
  <c r="C421" i="1"/>
  <c r="D71" i="1"/>
  <c r="B198" i="1"/>
  <c r="D197" i="1"/>
  <c r="H85" i="2"/>
  <c r="H87" i="2" s="1"/>
  <c r="H96" i="2" s="1"/>
  <c r="H40" i="2"/>
  <c r="H44" i="2"/>
  <c r="H46" i="2"/>
  <c r="B45" i="1"/>
  <c r="E45" i="1" s="1"/>
  <c r="C50" i="1" s="1"/>
  <c r="D50" i="1" s="1"/>
  <c r="E71" i="1" s="1"/>
  <c r="D214" i="1"/>
  <c r="C245" i="1" s="1"/>
  <c r="C298" i="1"/>
  <c r="C330" i="1"/>
  <c r="B389" i="1"/>
  <c r="B397" i="1"/>
  <c r="I85" i="2"/>
  <c r="I44" i="2"/>
  <c r="I79" i="2"/>
  <c r="I87" i="2" s="1"/>
  <c r="I96" i="2" s="1"/>
  <c r="H105" i="3"/>
  <c r="H119" i="3"/>
  <c r="H103" i="3"/>
  <c r="H104" i="3" s="1"/>
  <c r="H52" i="3"/>
  <c r="H179" i="3"/>
  <c r="H51" i="3"/>
  <c r="H53" i="3" s="1"/>
  <c r="H127" i="3"/>
  <c r="H100" i="3"/>
  <c r="H116" i="3"/>
  <c r="F129" i="7"/>
  <c r="F140" i="7"/>
  <c r="F148" i="7" s="1"/>
  <c r="F157" i="7" s="1"/>
  <c r="F167" i="7" s="1"/>
  <c r="F181" i="7" s="1"/>
  <c r="C196" i="7" s="1"/>
  <c r="C301" i="1"/>
  <c r="B392" i="1"/>
  <c r="B400" i="1"/>
  <c r="J46" i="2"/>
  <c r="J79" i="2"/>
  <c r="J87" i="2" s="1"/>
  <c r="J96" i="2" s="1"/>
  <c r="C328" i="1"/>
  <c r="B395" i="1"/>
  <c r="I46" i="2"/>
  <c r="H115" i="3"/>
  <c r="C299" i="1"/>
  <c r="C331" i="1"/>
  <c r="B390" i="1"/>
  <c r="B398" i="1"/>
  <c r="F40" i="2"/>
  <c r="F46" i="2" s="1"/>
  <c r="J43" i="2"/>
  <c r="H117" i="3"/>
  <c r="C302" i="1"/>
  <c r="B393" i="1"/>
  <c r="E87" i="2"/>
  <c r="E96" i="2" s="1"/>
  <c r="G40" i="2"/>
  <c r="G137" i="4"/>
  <c r="G145" i="4" s="1"/>
  <c r="G154" i="4" s="1"/>
  <c r="G164" i="4" s="1"/>
  <c r="G178" i="4" s="1"/>
  <c r="G126" i="4"/>
  <c r="C329" i="1"/>
  <c r="J44" i="2"/>
  <c r="F79" i="2"/>
  <c r="F87" i="2" s="1"/>
  <c r="F96" i="2" s="1"/>
  <c r="H126" i="4"/>
  <c r="H137" i="4"/>
  <c r="H145" i="4" s="1"/>
  <c r="H154" i="4" s="1"/>
  <c r="H164" i="4" s="1"/>
  <c r="H178" i="4" s="1"/>
  <c r="H136" i="5"/>
  <c r="H144" i="5" s="1"/>
  <c r="H153" i="5" s="1"/>
  <c r="H163" i="5" s="1"/>
  <c r="H177" i="5" s="1"/>
  <c r="H125" i="5"/>
  <c r="B272" i="1"/>
  <c r="I40" i="2"/>
  <c r="E46" i="2"/>
  <c r="G79" i="2"/>
  <c r="G87" i="2" s="1"/>
  <c r="G96" i="2" s="1"/>
  <c r="G76" i="4"/>
  <c r="G84" i="4" s="1"/>
  <c r="G93" i="4" s="1"/>
  <c r="G43" i="4"/>
  <c r="E92" i="8"/>
  <c r="E101" i="8" s="1"/>
  <c r="G46" i="7"/>
  <c r="G40" i="7"/>
  <c r="G79" i="7"/>
  <c r="G87" i="7" s="1"/>
  <c r="G96" i="7" s="1"/>
  <c r="H42" i="5"/>
  <c r="H79" i="7"/>
  <c r="H87" i="7" s="1"/>
  <c r="H96" i="7" s="1"/>
  <c r="H46" i="7"/>
  <c r="I79" i="7"/>
  <c r="I87" i="7" s="1"/>
  <c r="I96" i="7" s="1"/>
  <c r="H76" i="4"/>
  <c r="H84" i="4" s="1"/>
  <c r="H93" i="4" s="1"/>
  <c r="H43" i="4"/>
  <c r="I46" i="7"/>
  <c r="J79" i="7"/>
  <c r="J87" i="7" s="1"/>
  <c r="J96" i="7" s="1"/>
  <c r="H40" i="7"/>
  <c r="J46" i="7"/>
  <c r="J85" i="7"/>
  <c r="F187" i="7"/>
  <c r="E90" i="8"/>
  <c r="E45" i="8"/>
  <c r="E51" i="8"/>
  <c r="F46" i="7"/>
  <c r="G48" i="8"/>
  <c r="G51" i="8"/>
  <c r="G84" i="8"/>
  <c r="G92" i="8" s="1"/>
  <c r="G101" i="8" s="1"/>
  <c r="C41" i="9"/>
  <c r="C43" i="9" s="1"/>
  <c r="C147" i="9"/>
  <c r="J45" i="8"/>
  <c r="F84" i="8"/>
  <c r="F92" i="8" s="1"/>
  <c r="F101" i="8" s="1"/>
  <c r="J90" i="8"/>
  <c r="I187" i="7"/>
  <c r="F51" i="8"/>
  <c r="H84" i="8"/>
  <c r="H92" i="8" s="1"/>
  <c r="H101" i="8" s="1"/>
  <c r="I84" i="8"/>
  <c r="I92" i="8" s="1"/>
  <c r="I101" i="8" s="1"/>
  <c r="F45" i="8"/>
  <c r="I51" i="8"/>
  <c r="C83" i="9"/>
  <c r="C84" i="9" s="1"/>
  <c r="H45" i="8"/>
  <c r="H51" i="8" s="1"/>
  <c r="C539" i="1" l="1"/>
  <c r="B84" i="1"/>
  <c r="D84" i="1" s="1"/>
  <c r="B102" i="1"/>
  <c r="E102" i="1" s="1"/>
  <c r="B93" i="1"/>
  <c r="D93" i="1" s="1"/>
  <c r="H132" i="8"/>
  <c r="H128" i="8"/>
  <c r="H133" i="8"/>
  <c r="H129" i="8"/>
  <c r="H125" i="8"/>
  <c r="H112" i="8"/>
  <c r="H113" i="8" s="1"/>
  <c r="H134" i="8"/>
  <c r="H130" i="8"/>
  <c r="H126" i="8"/>
  <c r="H60" i="8"/>
  <c r="H185" i="8"/>
  <c r="H135" i="8"/>
  <c r="H131" i="8"/>
  <c r="H127" i="8"/>
  <c r="H114" i="8"/>
  <c r="H109" i="8"/>
  <c r="H61" i="8"/>
  <c r="J47" i="8"/>
  <c r="J51" i="8"/>
  <c r="G120" i="7"/>
  <c r="G121" i="7"/>
  <c r="G109" i="7"/>
  <c r="G183" i="7"/>
  <c r="G122" i="7"/>
  <c r="G107" i="7"/>
  <c r="G108" i="7" s="1"/>
  <c r="G104" i="7"/>
  <c r="G56" i="7"/>
  <c r="G119" i="7"/>
  <c r="G55" i="7"/>
  <c r="G57" i="7" s="1"/>
  <c r="I126" i="2"/>
  <c r="I122" i="2"/>
  <c r="I127" i="2"/>
  <c r="I123" i="2"/>
  <c r="I119" i="2"/>
  <c r="I107" i="2"/>
  <c r="I108" i="2" s="1"/>
  <c r="I174" i="2"/>
  <c r="I179" i="2" s="1"/>
  <c r="I128" i="2"/>
  <c r="I120" i="2"/>
  <c r="I55" i="2"/>
  <c r="I57" i="2" s="1"/>
  <c r="I125" i="2"/>
  <c r="I109" i="2"/>
  <c r="I124" i="2"/>
  <c r="I129" i="2"/>
  <c r="I121" i="2"/>
  <c r="I104" i="2"/>
  <c r="I56" i="2"/>
  <c r="J127" i="2"/>
  <c r="J123" i="2"/>
  <c r="J119" i="2"/>
  <c r="J107" i="2"/>
  <c r="J108" i="2" s="1"/>
  <c r="J174" i="2"/>
  <c r="J179" i="2" s="1"/>
  <c r="J128" i="2"/>
  <c r="J124" i="2"/>
  <c r="J120" i="2"/>
  <c r="J55" i="2"/>
  <c r="J57" i="2" s="1"/>
  <c r="J125" i="2"/>
  <c r="J109" i="2"/>
  <c r="J122" i="2"/>
  <c r="J129" i="2"/>
  <c r="J121" i="2"/>
  <c r="J104" i="2"/>
  <c r="J56" i="2"/>
  <c r="J126" i="2"/>
  <c r="H128" i="3"/>
  <c r="H130" i="3"/>
  <c r="H147" i="3" s="1"/>
  <c r="G43" i="2"/>
  <c r="G42" i="2"/>
  <c r="G46" i="2" s="1"/>
  <c r="H119" i="5"/>
  <c r="H103" i="5"/>
  <c r="H104" i="5" s="1"/>
  <c r="H117" i="5"/>
  <c r="H52" i="5"/>
  <c r="H179" i="5"/>
  <c r="H115" i="5"/>
  <c r="H116" i="5"/>
  <c r="H129" i="5"/>
  <c r="H105" i="5"/>
  <c r="H100" i="5"/>
  <c r="H127" i="5"/>
  <c r="H51" i="5"/>
  <c r="H53" i="5" s="1"/>
  <c r="G116" i="4"/>
  <c r="G180" i="4"/>
  <c r="G128" i="4"/>
  <c r="G120" i="4"/>
  <c r="G104" i="4"/>
  <c r="G105" i="4" s="1"/>
  <c r="G117" i="4"/>
  <c r="G101" i="4"/>
  <c r="G106" i="4"/>
  <c r="G53" i="4"/>
  <c r="G118" i="4"/>
  <c r="G52" i="4"/>
  <c r="G54" i="4" s="1"/>
  <c r="H122" i="7"/>
  <c r="H104" i="7"/>
  <c r="H183" i="7"/>
  <c r="H188" i="7" s="1"/>
  <c r="H119" i="7"/>
  <c r="H107" i="7"/>
  <c r="H108" i="7" s="1"/>
  <c r="H56" i="7"/>
  <c r="H109" i="7"/>
  <c r="H121" i="7"/>
  <c r="H120" i="7"/>
  <c r="H55" i="7"/>
  <c r="H57" i="7" s="1"/>
  <c r="F55" i="2"/>
  <c r="F57" i="2" s="1"/>
  <c r="F129" i="2"/>
  <c r="F125" i="2"/>
  <c r="F121" i="2"/>
  <c r="F109" i="2"/>
  <c r="F104" i="2"/>
  <c r="F56" i="2"/>
  <c r="F126" i="2"/>
  <c r="F122" i="2"/>
  <c r="F174" i="2"/>
  <c r="F123" i="2"/>
  <c r="F107" i="2"/>
  <c r="F108" i="2" s="1"/>
  <c r="F128" i="2"/>
  <c r="F120" i="2"/>
  <c r="F127" i="2"/>
  <c r="F119" i="2"/>
  <c r="F124" i="2"/>
  <c r="J48" i="8"/>
  <c r="H129" i="3"/>
  <c r="G61" i="8"/>
  <c r="G133" i="8"/>
  <c r="G129" i="8"/>
  <c r="G125" i="8"/>
  <c r="G112" i="8"/>
  <c r="G113" i="8" s="1"/>
  <c r="G134" i="8"/>
  <c r="G130" i="8"/>
  <c r="G126" i="8"/>
  <c r="G60" i="8"/>
  <c r="G62" i="8" s="1"/>
  <c r="G114" i="8"/>
  <c r="G128" i="8"/>
  <c r="G127" i="8"/>
  <c r="G132" i="8"/>
  <c r="G131" i="8"/>
  <c r="G185" i="8"/>
  <c r="G135" i="8"/>
  <c r="G109" i="8"/>
  <c r="I120" i="7"/>
  <c r="I121" i="7"/>
  <c r="I109" i="7"/>
  <c r="I183" i="7"/>
  <c r="I188" i="7" s="1"/>
  <c r="I119" i="7"/>
  <c r="I122" i="7"/>
  <c r="I56" i="7"/>
  <c r="I107" i="7"/>
  <c r="I108" i="7" s="1"/>
  <c r="I55" i="7"/>
  <c r="I57" i="7" s="1"/>
  <c r="I104" i="7"/>
  <c r="B401" i="1"/>
  <c r="B539" i="1"/>
  <c r="B101" i="1"/>
  <c r="E101" i="1" s="1"/>
  <c r="B92" i="1"/>
  <c r="D92" i="1" s="1"/>
  <c r="B83" i="1"/>
  <c r="D83" i="1" s="1"/>
  <c r="I134" i="8"/>
  <c r="I130" i="8"/>
  <c r="I126" i="8"/>
  <c r="I60" i="8"/>
  <c r="I62" i="8" s="1"/>
  <c r="I185" i="8"/>
  <c r="I190" i="8" s="1"/>
  <c r="I135" i="8"/>
  <c r="I131" i="8"/>
  <c r="I127" i="8"/>
  <c r="I114" i="8"/>
  <c r="I109" i="8"/>
  <c r="I61" i="8"/>
  <c r="I129" i="8"/>
  <c r="I128" i="8"/>
  <c r="I133" i="8"/>
  <c r="I132" i="8"/>
  <c r="I112" i="8"/>
  <c r="I113" i="8" s="1"/>
  <c r="I125" i="8"/>
  <c r="D52" i="9"/>
  <c r="D50" i="9"/>
  <c r="D49" i="9"/>
  <c r="D56" i="9"/>
  <c r="D55" i="9"/>
  <c r="C74" i="9"/>
  <c r="D54" i="9"/>
  <c r="D53" i="9"/>
  <c r="D51" i="9"/>
  <c r="F183" i="7"/>
  <c r="F119" i="7"/>
  <c r="F107" i="7"/>
  <c r="F108" i="7" s="1"/>
  <c r="F104" i="7"/>
  <c r="F120" i="7"/>
  <c r="F123" i="7"/>
  <c r="F121" i="7"/>
  <c r="F109" i="7"/>
  <c r="F55" i="7"/>
  <c r="F56" i="7"/>
  <c r="B215" i="1"/>
  <c r="B206" i="1"/>
  <c r="D206" i="1" s="1"/>
  <c r="C215" i="1" s="1"/>
  <c r="C32" i="1"/>
  <c r="D31" i="1"/>
  <c r="D73" i="1" s="1"/>
  <c r="G73" i="1" s="1"/>
  <c r="G72" i="1"/>
  <c r="H116" i="4"/>
  <c r="H53" i="4"/>
  <c r="H101" i="4"/>
  <c r="H118" i="4"/>
  <c r="H128" i="4"/>
  <c r="H120" i="4"/>
  <c r="H117" i="4"/>
  <c r="H52" i="4"/>
  <c r="H106" i="4"/>
  <c r="H180" i="4"/>
  <c r="H104" i="4"/>
  <c r="H105" i="4" s="1"/>
  <c r="E174" i="2"/>
  <c r="E128" i="2"/>
  <c r="E124" i="2"/>
  <c r="E120" i="2"/>
  <c r="E55" i="2"/>
  <c r="E129" i="2"/>
  <c r="E125" i="2"/>
  <c r="E121" i="2"/>
  <c r="E109" i="2"/>
  <c r="E104" i="2"/>
  <c r="E126" i="2"/>
  <c r="E123" i="2"/>
  <c r="E107" i="2"/>
  <c r="E108" i="2" s="1"/>
  <c r="E122" i="2"/>
  <c r="E127" i="2"/>
  <c r="E119" i="2"/>
  <c r="E56" i="2"/>
  <c r="H120" i="3"/>
  <c r="H121" i="3" s="1"/>
  <c r="H146" i="3" s="1"/>
  <c r="H149" i="3" s="1"/>
  <c r="D198" i="1"/>
  <c r="B199" i="1"/>
  <c r="J121" i="7"/>
  <c r="J109" i="7"/>
  <c r="J183" i="7"/>
  <c r="J188" i="7" s="1"/>
  <c r="J122" i="7"/>
  <c r="J120" i="7"/>
  <c r="J107" i="7"/>
  <c r="J108" i="7" s="1"/>
  <c r="J56" i="7"/>
  <c r="J119" i="7"/>
  <c r="J55" i="7"/>
  <c r="J57" i="7" s="1"/>
  <c r="J104" i="7"/>
  <c r="H60" i="3"/>
  <c r="H67" i="3"/>
  <c r="H65" i="3"/>
  <c r="H66" i="3"/>
  <c r="H90" i="3"/>
  <c r="H63" i="3"/>
  <c r="H64" i="3"/>
  <c r="H62" i="3"/>
  <c r="H61" i="3"/>
  <c r="H174" i="2"/>
  <c r="H56" i="2"/>
  <c r="H126" i="2"/>
  <c r="H122" i="2"/>
  <c r="H127" i="2"/>
  <c r="H123" i="2"/>
  <c r="H119" i="2"/>
  <c r="H107" i="2"/>
  <c r="H108" i="2" s="1"/>
  <c r="H128" i="2"/>
  <c r="H120" i="2"/>
  <c r="H55" i="2"/>
  <c r="H125" i="2"/>
  <c r="H109" i="2"/>
  <c r="H124" i="2"/>
  <c r="H129" i="2"/>
  <c r="H104" i="2"/>
  <c r="H121" i="2"/>
  <c r="F185" i="8"/>
  <c r="F135" i="8"/>
  <c r="F131" i="8"/>
  <c r="F127" i="8"/>
  <c r="F114" i="8"/>
  <c r="F109" i="8"/>
  <c r="F132" i="8"/>
  <c r="F128" i="8"/>
  <c r="F133" i="8"/>
  <c r="F129" i="8"/>
  <c r="F125" i="8"/>
  <c r="F112" i="8"/>
  <c r="F113" i="8" s="1"/>
  <c r="F134" i="8"/>
  <c r="F130" i="8"/>
  <c r="F126" i="8"/>
  <c r="F61" i="8"/>
  <c r="F60" i="8"/>
  <c r="F62" i="8" s="1"/>
  <c r="E60" i="8"/>
  <c r="E61" i="8"/>
  <c r="E132" i="8"/>
  <c r="E128" i="8"/>
  <c r="E133" i="8"/>
  <c r="E129" i="8"/>
  <c r="E125" i="8"/>
  <c r="E112" i="8"/>
  <c r="E113" i="8" s="1"/>
  <c r="E135" i="8"/>
  <c r="E109" i="8"/>
  <c r="E134" i="8"/>
  <c r="E114" i="8"/>
  <c r="E127" i="8"/>
  <c r="E126" i="8"/>
  <c r="E131" i="8"/>
  <c r="E185" i="8"/>
  <c r="E130" i="8"/>
  <c r="G42" i="7"/>
  <c r="G43" i="7"/>
  <c r="H106" i="3"/>
  <c r="H181" i="3" s="1"/>
  <c r="H101" i="3"/>
  <c r="C422" i="1"/>
  <c r="C419" i="1"/>
  <c r="F244" i="1"/>
  <c r="D255" i="1" s="1"/>
  <c r="E169" i="1"/>
  <c r="B187" i="1" s="1"/>
  <c r="D187" i="1" s="1"/>
  <c r="B247" i="1" s="1"/>
  <c r="B170" i="1"/>
  <c r="H54" i="4" l="1"/>
  <c r="G174" i="2"/>
  <c r="G129" i="2"/>
  <c r="G125" i="2"/>
  <c r="G121" i="2"/>
  <c r="G109" i="2"/>
  <c r="G104" i="2"/>
  <c r="G56" i="2"/>
  <c r="G126" i="2"/>
  <c r="G122" i="2"/>
  <c r="G123" i="2"/>
  <c r="G107" i="2"/>
  <c r="G108" i="2" s="1"/>
  <c r="G128" i="2"/>
  <c r="G120" i="2"/>
  <c r="G55" i="2"/>
  <c r="G57" i="2" s="1"/>
  <c r="G127" i="2"/>
  <c r="G119" i="2"/>
  <c r="G124" i="2"/>
  <c r="B95" i="1"/>
  <c r="D95" i="1" s="1"/>
  <c r="B86" i="1"/>
  <c r="D86" i="1" s="1"/>
  <c r="B104" i="1"/>
  <c r="E104" i="1" s="1"/>
  <c r="H182" i="3"/>
  <c r="G102" i="4"/>
  <c r="G107" i="4" s="1"/>
  <c r="G182" i="4" s="1"/>
  <c r="F110" i="8"/>
  <c r="F115" i="8" s="1"/>
  <c r="F187" i="8" s="1"/>
  <c r="H110" i="2"/>
  <c r="H176" i="2" s="1"/>
  <c r="H105" i="2"/>
  <c r="H68" i="3"/>
  <c r="H91" i="3" s="1"/>
  <c r="E110" i="2"/>
  <c r="E176" i="2" s="1"/>
  <c r="E105" i="2"/>
  <c r="I137" i="8"/>
  <c r="I152" i="8" s="1"/>
  <c r="I154" i="8" s="1"/>
  <c r="I188" i="8" s="1"/>
  <c r="I136" i="8"/>
  <c r="D339" i="1"/>
  <c r="D110" i="1"/>
  <c r="G110" i="8"/>
  <c r="G115" i="8" s="1"/>
  <c r="G187" i="8" s="1"/>
  <c r="G75" i="8"/>
  <c r="G71" i="8"/>
  <c r="G76" i="8"/>
  <c r="G72" i="8"/>
  <c r="G73" i="8"/>
  <c r="G69" i="8"/>
  <c r="G74" i="8"/>
  <c r="G70" i="8"/>
  <c r="G99" i="8"/>
  <c r="H101" i="5"/>
  <c r="H106" i="5"/>
  <c r="H181" i="5" s="1"/>
  <c r="J131" i="2"/>
  <c r="J145" i="2" s="1"/>
  <c r="J147" i="2" s="1"/>
  <c r="J177" i="2" s="1"/>
  <c r="J130" i="2"/>
  <c r="I131" i="2"/>
  <c r="I145" i="2" s="1"/>
  <c r="I147" i="2" s="1"/>
  <c r="I177" i="2" s="1"/>
  <c r="I130" i="2"/>
  <c r="G110" i="7"/>
  <c r="G185" i="7" s="1"/>
  <c r="G105" i="7"/>
  <c r="H62" i="8"/>
  <c r="I67" i="7"/>
  <c r="I66" i="7"/>
  <c r="I69" i="7"/>
  <c r="I70" i="7"/>
  <c r="I94" i="7"/>
  <c r="I97" i="7" s="1"/>
  <c r="I184" i="7" s="1"/>
  <c r="I64" i="7"/>
  <c r="I72" i="7" s="1"/>
  <c r="I95" i="7" s="1"/>
  <c r="I71" i="7"/>
  <c r="I68" i="7"/>
  <c r="I65" i="7"/>
  <c r="H128" i="5"/>
  <c r="H130" i="5" s="1"/>
  <c r="H147" i="5" s="1"/>
  <c r="B340" i="1"/>
  <c r="B111" i="1"/>
  <c r="B171" i="1"/>
  <c r="E171" i="1" s="1"/>
  <c r="B189" i="1" s="1"/>
  <c r="D189" i="1" s="1"/>
  <c r="B249" i="1" s="1"/>
  <c r="E170" i="1"/>
  <c r="B188" i="1" s="1"/>
  <c r="D188" i="1" s="1"/>
  <c r="B248" i="1" s="1"/>
  <c r="H131" i="2"/>
  <c r="H145" i="2" s="1"/>
  <c r="H147" i="2" s="1"/>
  <c r="H177" i="2" s="1"/>
  <c r="H130" i="2"/>
  <c r="J110" i="7"/>
  <c r="J185" i="7" s="1"/>
  <c r="J105" i="7"/>
  <c r="H129" i="4"/>
  <c r="C33" i="1"/>
  <c r="D33" i="1" s="1"/>
  <c r="D75" i="1" s="1"/>
  <c r="G75" i="1" s="1"/>
  <c r="D32" i="1"/>
  <c r="F110" i="2"/>
  <c r="F176" i="2" s="1"/>
  <c r="F105" i="2"/>
  <c r="J71" i="2"/>
  <c r="J67" i="2"/>
  <c r="J68" i="2"/>
  <c r="J64" i="2"/>
  <c r="J72" i="2" s="1"/>
  <c r="J95" i="2" s="1"/>
  <c r="J70" i="2"/>
  <c r="J94" i="2"/>
  <c r="J97" i="2" s="1"/>
  <c r="J65" i="2"/>
  <c r="J69" i="2"/>
  <c r="J66" i="2"/>
  <c r="D539" i="1"/>
  <c r="B103" i="1"/>
  <c r="E103" i="1" s="1"/>
  <c r="B94" i="1"/>
  <c r="D94" i="1" s="1"/>
  <c r="B85" i="1"/>
  <c r="D85" i="1" s="1"/>
  <c r="C339" i="1"/>
  <c r="C110" i="1"/>
  <c r="E115" i="8"/>
  <c r="E187" i="8" s="1"/>
  <c r="E110" i="8"/>
  <c r="E130" i="2"/>
  <c r="E131" i="2" s="1"/>
  <c r="E145" i="2" s="1"/>
  <c r="E147" i="2" s="1"/>
  <c r="E177" i="2" s="1"/>
  <c r="F105" i="7"/>
  <c r="F110" i="7" s="1"/>
  <c r="F185" i="7" s="1"/>
  <c r="G68" i="4"/>
  <c r="G64" i="4"/>
  <c r="G91" i="4"/>
  <c r="G62" i="4"/>
  <c r="G67" i="4"/>
  <c r="G61" i="4"/>
  <c r="G66" i="4"/>
  <c r="G65" i="4"/>
  <c r="G63" i="4"/>
  <c r="H115" i="8"/>
  <c r="H187" i="8" s="1"/>
  <c r="H110" i="8"/>
  <c r="H105" i="7"/>
  <c r="H110" i="7"/>
  <c r="H185" i="7" s="1"/>
  <c r="J133" i="8"/>
  <c r="J129" i="8"/>
  <c r="J125" i="8"/>
  <c r="J112" i="8"/>
  <c r="J113" i="8" s="1"/>
  <c r="J134" i="8"/>
  <c r="J130" i="8"/>
  <c r="J126" i="8"/>
  <c r="J60" i="8"/>
  <c r="J62" i="8" s="1"/>
  <c r="J185" i="8"/>
  <c r="J190" i="8" s="1"/>
  <c r="J135" i="8"/>
  <c r="J131" i="8"/>
  <c r="J127" i="8"/>
  <c r="J114" i="8"/>
  <c r="J109" i="8"/>
  <c r="J61" i="8"/>
  <c r="J132" i="8"/>
  <c r="J128" i="8"/>
  <c r="J125" i="7"/>
  <c r="J150" i="7" s="1"/>
  <c r="J153" i="7" s="1"/>
  <c r="J186" i="7" s="1"/>
  <c r="J124" i="7"/>
  <c r="H130" i="4"/>
  <c r="H131" i="4" s="1"/>
  <c r="H148" i="4" s="1"/>
  <c r="D215" i="1"/>
  <c r="C246" i="1" s="1"/>
  <c r="F246" i="1" s="1"/>
  <c r="D257" i="1" s="1"/>
  <c r="I124" i="7"/>
  <c r="I125" i="7"/>
  <c r="I150" i="7" s="1"/>
  <c r="I153" i="7" s="1"/>
  <c r="G129" i="4"/>
  <c r="J105" i="2"/>
  <c r="J110" i="2"/>
  <c r="J176" i="2" s="1"/>
  <c r="I71" i="2"/>
  <c r="I67" i="2"/>
  <c r="I70" i="2"/>
  <c r="I94" i="2"/>
  <c r="I97" i="2" s="1"/>
  <c r="I65" i="2"/>
  <c r="I69" i="2"/>
  <c r="I64" i="2"/>
  <c r="I72" i="2" s="1"/>
  <c r="I95" i="2" s="1"/>
  <c r="I68" i="2"/>
  <c r="I66" i="2"/>
  <c r="G188" i="7"/>
  <c r="C340" i="1"/>
  <c r="C111" i="1"/>
  <c r="H68" i="7"/>
  <c r="H66" i="7"/>
  <c r="H71" i="7"/>
  <c r="H64" i="7"/>
  <c r="H72" i="7" s="1"/>
  <c r="H95" i="7" s="1"/>
  <c r="H67" i="7"/>
  <c r="H70" i="7"/>
  <c r="H94" i="7"/>
  <c r="H97" i="7" s="1"/>
  <c r="H184" i="7" s="1"/>
  <c r="H69" i="7"/>
  <c r="H65" i="7"/>
  <c r="E62" i="8"/>
  <c r="F99" i="8"/>
  <c r="F76" i="8"/>
  <c r="F72" i="8"/>
  <c r="F73" i="8"/>
  <c r="F69" i="8"/>
  <c r="F71" i="8"/>
  <c r="F70" i="8"/>
  <c r="F75" i="8"/>
  <c r="F74" i="8"/>
  <c r="H93" i="3"/>
  <c r="H180" i="3" s="1"/>
  <c r="H184" i="3" s="1"/>
  <c r="H102" i="4"/>
  <c r="H107" i="4" s="1"/>
  <c r="H182" i="4" s="1"/>
  <c r="F124" i="7"/>
  <c r="F125" i="7"/>
  <c r="F150" i="7" s="1"/>
  <c r="F153" i="7" s="1"/>
  <c r="B339" i="1"/>
  <c r="B110" i="1"/>
  <c r="E110" i="1" s="1"/>
  <c r="G130" i="4"/>
  <c r="G131" i="4" s="1"/>
  <c r="G148" i="4" s="1"/>
  <c r="H120" i="5"/>
  <c r="H121" i="5" s="1"/>
  <c r="H146" i="5" s="1"/>
  <c r="I110" i="2"/>
  <c r="I176" i="2" s="1"/>
  <c r="I105" i="2"/>
  <c r="D340" i="1"/>
  <c r="D111" i="1"/>
  <c r="I110" i="8"/>
  <c r="I115" i="8"/>
  <c r="I187" i="8" s="1"/>
  <c r="J70" i="7"/>
  <c r="J71" i="7"/>
  <c r="J64" i="7"/>
  <c r="J72" i="7" s="1"/>
  <c r="J95" i="7" s="1"/>
  <c r="J67" i="7"/>
  <c r="J94" i="7"/>
  <c r="J97" i="7" s="1"/>
  <c r="J69" i="7"/>
  <c r="J66" i="7"/>
  <c r="J68" i="7"/>
  <c r="J65" i="7"/>
  <c r="F136" i="8"/>
  <c r="F137" i="8" s="1"/>
  <c r="F152" i="8" s="1"/>
  <c r="F154" i="8" s="1"/>
  <c r="F188" i="8" s="1"/>
  <c r="E136" i="8"/>
  <c r="E137" i="8" s="1"/>
  <c r="E152" i="8" s="1"/>
  <c r="E154" i="8" s="1"/>
  <c r="E188" i="8" s="1"/>
  <c r="H57" i="2"/>
  <c r="B200" i="1"/>
  <c r="D200" i="1" s="1"/>
  <c r="D199" i="1"/>
  <c r="E57" i="2"/>
  <c r="F57" i="7"/>
  <c r="D57" i="9"/>
  <c r="C75" i="9" s="1"/>
  <c r="C77" i="9" s="1"/>
  <c r="C148" i="9" s="1"/>
  <c r="C152" i="9" s="1"/>
  <c r="C154" i="9" s="1"/>
  <c r="I76" i="8"/>
  <c r="I72" i="8"/>
  <c r="I73" i="8"/>
  <c r="I69" i="8"/>
  <c r="I77" i="8" s="1"/>
  <c r="I100" i="8" s="1"/>
  <c r="I74" i="8"/>
  <c r="I70" i="8"/>
  <c r="I99" i="8"/>
  <c r="I102" i="8" s="1"/>
  <c r="I75" i="8"/>
  <c r="I71" i="8"/>
  <c r="C420" i="1"/>
  <c r="C417" i="1"/>
  <c r="H125" i="7"/>
  <c r="H150" i="7" s="1"/>
  <c r="H153" i="7" s="1"/>
  <c r="H124" i="7"/>
  <c r="G121" i="4"/>
  <c r="G122" i="4" s="1"/>
  <c r="G147" i="4" s="1"/>
  <c r="G69" i="7"/>
  <c r="G94" i="7"/>
  <c r="G97" i="7" s="1"/>
  <c r="G184" i="7" s="1"/>
  <c r="G70" i="7"/>
  <c r="G68" i="7"/>
  <c r="G65" i="7"/>
  <c r="G67" i="7"/>
  <c r="G64" i="7"/>
  <c r="G72" i="7" s="1"/>
  <c r="G95" i="7" s="1"/>
  <c r="G66" i="7"/>
  <c r="G71" i="7"/>
  <c r="B216" i="1"/>
  <c r="D216" i="1" s="1"/>
  <c r="C247" i="1" s="1"/>
  <c r="F247" i="1" s="1"/>
  <c r="D258" i="1" s="1"/>
  <c r="B207" i="1"/>
  <c r="D207" i="1" s="1"/>
  <c r="C216" i="1" s="1"/>
  <c r="H91" i="4"/>
  <c r="H67" i="4"/>
  <c r="H63" i="4"/>
  <c r="H66" i="4"/>
  <c r="H62" i="4"/>
  <c r="H68" i="4"/>
  <c r="H61" i="4"/>
  <c r="H65" i="4"/>
  <c r="H64" i="4"/>
  <c r="H122" i="4"/>
  <c r="H147" i="4" s="1"/>
  <c r="H121" i="4"/>
  <c r="I105" i="7"/>
  <c r="I110" i="7"/>
  <c r="I185" i="7" s="1"/>
  <c r="G136" i="8"/>
  <c r="G137" i="8" s="1"/>
  <c r="G152" i="8" s="1"/>
  <c r="G154" i="8" s="1"/>
  <c r="G188" i="8" s="1"/>
  <c r="F131" i="2"/>
  <c r="F145" i="2" s="1"/>
  <c r="F147" i="2" s="1"/>
  <c r="F177" i="2" s="1"/>
  <c r="F130" i="2"/>
  <c r="F69" i="2"/>
  <c r="F65" i="2"/>
  <c r="F94" i="2"/>
  <c r="F70" i="2"/>
  <c r="F66" i="2"/>
  <c r="F64" i="2"/>
  <c r="F68" i="2"/>
  <c r="F67" i="2"/>
  <c r="F71" i="2"/>
  <c r="H66" i="5"/>
  <c r="H65" i="5"/>
  <c r="H63" i="5"/>
  <c r="H62" i="5"/>
  <c r="H90" i="5"/>
  <c r="H61" i="5"/>
  <c r="H60" i="5"/>
  <c r="H67" i="5"/>
  <c r="H64" i="5"/>
  <c r="G125" i="7"/>
  <c r="G150" i="7" s="1"/>
  <c r="G153" i="7" s="1"/>
  <c r="G124" i="7"/>
  <c r="H136" i="8"/>
  <c r="H137" i="8" s="1"/>
  <c r="H152" i="8" s="1"/>
  <c r="H154" i="8" s="1"/>
  <c r="H188" i="8" s="1"/>
  <c r="H149" i="5" l="1"/>
  <c r="H68" i="5"/>
  <c r="H91" i="5" s="1"/>
  <c r="H93" i="5" s="1"/>
  <c r="H180" i="5" s="1"/>
  <c r="I186" i="8"/>
  <c r="I161" i="8"/>
  <c r="I162" i="8" s="1"/>
  <c r="J184" i="7"/>
  <c r="J159" i="7"/>
  <c r="J163" i="7" s="1"/>
  <c r="B255" i="1"/>
  <c r="B143" i="1"/>
  <c r="D143" i="1" s="1"/>
  <c r="B134" i="1"/>
  <c r="D134" i="1" s="1"/>
  <c r="B152" i="1" s="1"/>
  <c r="J115" i="8"/>
  <c r="J187" i="8" s="1"/>
  <c r="J110" i="8"/>
  <c r="E111" i="1"/>
  <c r="C342" i="1"/>
  <c r="C113" i="1"/>
  <c r="G94" i="2"/>
  <c r="G70" i="2"/>
  <c r="G66" i="2"/>
  <c r="G71" i="2"/>
  <c r="G68" i="2"/>
  <c r="G67" i="2"/>
  <c r="G65" i="2"/>
  <c r="G69" i="2"/>
  <c r="G64" i="2"/>
  <c r="H169" i="7"/>
  <c r="H186" i="7"/>
  <c r="H170" i="7"/>
  <c r="H172" i="7"/>
  <c r="E339" i="1"/>
  <c r="B348" i="1" s="1"/>
  <c r="D348" i="1" s="1"/>
  <c r="D359" i="1" s="1"/>
  <c r="B341" i="1"/>
  <c r="B112" i="1"/>
  <c r="E112" i="1" s="1"/>
  <c r="E340" i="1"/>
  <c r="B349" i="1" s="1"/>
  <c r="D349" i="1" s="1"/>
  <c r="D360" i="1" s="1"/>
  <c r="G105" i="2"/>
  <c r="G110" i="2" s="1"/>
  <c r="G176" i="2" s="1"/>
  <c r="H165" i="3"/>
  <c r="H168" i="3" s="1"/>
  <c r="G77" i="8"/>
  <c r="G100" i="8" s="1"/>
  <c r="E69" i="2"/>
  <c r="E65" i="2"/>
  <c r="E94" i="2"/>
  <c r="E70" i="2"/>
  <c r="E66" i="2"/>
  <c r="E64" i="2"/>
  <c r="E68" i="2"/>
  <c r="E67" i="2"/>
  <c r="E71" i="2"/>
  <c r="G150" i="4"/>
  <c r="G102" i="8"/>
  <c r="H69" i="4"/>
  <c r="H92" i="4" s="1"/>
  <c r="H94" i="4" s="1"/>
  <c r="H181" i="4" s="1"/>
  <c r="F65" i="7"/>
  <c r="F94" i="7"/>
  <c r="F70" i="7"/>
  <c r="F66" i="7"/>
  <c r="F67" i="7"/>
  <c r="F64" i="7"/>
  <c r="F69" i="7"/>
  <c r="F71" i="7"/>
  <c r="F68" i="7"/>
  <c r="F186" i="7"/>
  <c r="E74" i="8"/>
  <c r="E70" i="8"/>
  <c r="E75" i="8"/>
  <c r="E71" i="8"/>
  <c r="E76" i="8"/>
  <c r="E72" i="8"/>
  <c r="E73" i="8"/>
  <c r="E69" i="8"/>
  <c r="E99" i="8"/>
  <c r="C341" i="1"/>
  <c r="C112" i="1"/>
  <c r="D341" i="1"/>
  <c r="D112" i="1"/>
  <c r="B208" i="1"/>
  <c r="D208" i="1" s="1"/>
  <c r="C217" i="1" s="1"/>
  <c r="B217" i="1"/>
  <c r="D217" i="1" s="1"/>
  <c r="C248" i="1" s="1"/>
  <c r="F248" i="1" s="1"/>
  <c r="D259" i="1" s="1"/>
  <c r="F77" i="8"/>
  <c r="F100" i="8" s="1"/>
  <c r="F102" i="8" s="1"/>
  <c r="J137" i="8"/>
  <c r="J152" i="8" s="1"/>
  <c r="J154" i="8" s="1"/>
  <c r="J188" i="8" s="1"/>
  <c r="J136" i="8"/>
  <c r="H150" i="4"/>
  <c r="B97" i="1"/>
  <c r="D97" i="1" s="1"/>
  <c r="B106" i="1"/>
  <c r="E106" i="1" s="1"/>
  <c r="B88" i="1"/>
  <c r="D88" i="1" s="1"/>
  <c r="G186" i="7"/>
  <c r="G169" i="7"/>
  <c r="B218" i="1"/>
  <c r="B209" i="1"/>
  <c r="D209" i="1" s="1"/>
  <c r="C218" i="1" s="1"/>
  <c r="D342" i="1"/>
  <c r="D113" i="1"/>
  <c r="B342" i="1"/>
  <c r="B113" i="1"/>
  <c r="F72" i="2"/>
  <c r="F95" i="2" s="1"/>
  <c r="F97" i="2" s="1"/>
  <c r="H166" i="3"/>
  <c r="H70" i="2"/>
  <c r="H66" i="2"/>
  <c r="H71" i="2"/>
  <c r="H67" i="2"/>
  <c r="H94" i="2"/>
  <c r="H65" i="2"/>
  <c r="H69" i="2"/>
  <c r="H64" i="2"/>
  <c r="H68" i="2"/>
  <c r="I175" i="2"/>
  <c r="I153" i="2"/>
  <c r="I154" i="2" s="1"/>
  <c r="I186" i="7"/>
  <c r="I169" i="7"/>
  <c r="J74" i="8"/>
  <c r="J70" i="8"/>
  <c r="J99" i="8"/>
  <c r="J102" i="8" s="1"/>
  <c r="J75" i="8"/>
  <c r="J71" i="8"/>
  <c r="J76" i="8"/>
  <c r="J69" i="8"/>
  <c r="J77" i="8" s="1"/>
  <c r="J100" i="8" s="1"/>
  <c r="J72" i="8"/>
  <c r="J73" i="8"/>
  <c r="G69" i="4"/>
  <c r="G92" i="4" s="1"/>
  <c r="G94" i="4" s="1"/>
  <c r="G181" i="4" s="1"/>
  <c r="J175" i="2"/>
  <c r="J153" i="2"/>
  <c r="J154" i="2" s="1"/>
  <c r="B46" i="1"/>
  <c r="E46" i="1" s="1"/>
  <c r="C51" i="1" s="1"/>
  <c r="D74" i="1"/>
  <c r="B42" i="1"/>
  <c r="E42" i="1" s="1"/>
  <c r="B51" i="1" s="1"/>
  <c r="D51" i="1" s="1"/>
  <c r="E74" i="1" s="1"/>
  <c r="H73" i="8"/>
  <c r="H69" i="8"/>
  <c r="H74" i="8"/>
  <c r="H70" i="8"/>
  <c r="H99" i="8"/>
  <c r="H72" i="8"/>
  <c r="H71" i="8"/>
  <c r="H76" i="8"/>
  <c r="H75" i="8"/>
  <c r="G130" i="2"/>
  <c r="G131" i="2" s="1"/>
  <c r="G145" i="2" s="1"/>
  <c r="G147" i="2" s="1"/>
  <c r="G177" i="2" s="1"/>
  <c r="F186" i="8" l="1"/>
  <c r="F161" i="8"/>
  <c r="F162" i="8" s="1"/>
  <c r="H184" i="5"/>
  <c r="F175" i="2"/>
  <c r="F153" i="2"/>
  <c r="F154" i="2" s="1"/>
  <c r="H171" i="3"/>
  <c r="H172" i="3"/>
  <c r="H169" i="3"/>
  <c r="H170" i="3"/>
  <c r="D344" i="1"/>
  <c r="D115" i="1"/>
  <c r="B257" i="1"/>
  <c r="B136" i="1"/>
  <c r="D136" i="1" s="1"/>
  <c r="B154" i="1" s="1"/>
  <c r="B145" i="1"/>
  <c r="D145" i="1" s="1"/>
  <c r="G170" i="7"/>
  <c r="G172" i="7" s="1"/>
  <c r="F72" i="7"/>
  <c r="F95" i="7" s="1"/>
  <c r="G183" i="4"/>
  <c r="G185" i="4" s="1"/>
  <c r="G166" i="4"/>
  <c r="G167" i="4" s="1"/>
  <c r="E341" i="1"/>
  <c r="B350" i="1" s="1"/>
  <c r="D350" i="1" s="1"/>
  <c r="D361" i="1" s="1"/>
  <c r="G72" i="2"/>
  <c r="G95" i="2" s="1"/>
  <c r="G97" i="2" s="1"/>
  <c r="I189" i="8"/>
  <c r="I170" i="8"/>
  <c r="I171" i="8" s="1"/>
  <c r="I173" i="8" s="1"/>
  <c r="I178" i="2"/>
  <c r="I160" i="2"/>
  <c r="I161" i="2" s="1"/>
  <c r="C344" i="1"/>
  <c r="C115" i="1"/>
  <c r="H77" i="8"/>
  <c r="H100" i="8" s="1"/>
  <c r="J186" i="8"/>
  <c r="J161" i="8"/>
  <c r="J162" i="8" s="1"/>
  <c r="E77" i="8"/>
  <c r="E100" i="8" s="1"/>
  <c r="E102" i="8" s="1"/>
  <c r="J161" i="2"/>
  <c r="J163" i="2"/>
  <c r="J160" i="2"/>
  <c r="J178" i="2"/>
  <c r="G186" i="8"/>
  <c r="G161" i="8"/>
  <c r="G162" i="8" s="1"/>
  <c r="H175" i="7"/>
  <c r="H173" i="7"/>
  <c r="H177" i="7" s="1"/>
  <c r="H189" i="7" s="1"/>
  <c r="H190" i="7" s="1"/>
  <c r="D198" i="7" s="1"/>
  <c r="F198" i="7" s="1"/>
  <c r="H198" i="7" s="1"/>
  <c r="H176" i="7"/>
  <c r="H174" i="7"/>
  <c r="B318" i="1"/>
  <c r="D318" i="1" s="1"/>
  <c r="B288" i="1"/>
  <c r="D288" i="1" s="1"/>
  <c r="C152" i="1"/>
  <c r="H72" i="2"/>
  <c r="H95" i="2" s="1"/>
  <c r="H97" i="2" s="1"/>
  <c r="D218" i="1"/>
  <c r="C249" i="1" s="1"/>
  <c r="F249" i="1" s="1"/>
  <c r="D260" i="1" s="1"/>
  <c r="F97" i="7"/>
  <c r="E72" i="2"/>
  <c r="E95" i="2" s="1"/>
  <c r="E97" i="2" s="1"/>
  <c r="H182" i="5"/>
  <c r="H165" i="5"/>
  <c r="G74" i="1"/>
  <c r="I170" i="7"/>
  <c r="I172" i="7" s="1"/>
  <c r="E113" i="1"/>
  <c r="B256" i="1"/>
  <c r="B144" i="1"/>
  <c r="D144" i="1" s="1"/>
  <c r="B135" i="1"/>
  <c r="D135" i="1" s="1"/>
  <c r="B153" i="1" s="1"/>
  <c r="J169" i="7"/>
  <c r="J187" i="7"/>
  <c r="J170" i="7"/>
  <c r="J172" i="7" s="1"/>
  <c r="D152" i="1"/>
  <c r="C255" i="1" s="1"/>
  <c r="E255" i="1" s="1"/>
  <c r="H102" i="8"/>
  <c r="E342" i="1"/>
  <c r="B351" i="1" s="1"/>
  <c r="D351" i="1" s="1"/>
  <c r="D362" i="1" s="1"/>
  <c r="B344" i="1"/>
  <c r="B115" i="1"/>
  <c r="E115" i="1" s="1"/>
  <c r="H183" i="4"/>
  <c r="H185" i="4" s="1"/>
  <c r="H166" i="4"/>
  <c r="E175" i="2" l="1"/>
  <c r="E153" i="2"/>
  <c r="E154" i="2" s="1"/>
  <c r="I176" i="8"/>
  <c r="I177" i="8"/>
  <c r="I174" i="8"/>
  <c r="I178" i="8" s="1"/>
  <c r="I191" i="8" s="1"/>
  <c r="I192" i="8" s="1"/>
  <c r="D202" i="8" s="1"/>
  <c r="F202" i="8" s="1"/>
  <c r="H202" i="8" s="1"/>
  <c r="I175" i="8"/>
  <c r="H175" i="2"/>
  <c r="H153" i="2"/>
  <c r="H154" i="2" s="1"/>
  <c r="B540" i="1"/>
  <c r="B279" i="1"/>
  <c r="D279" i="1" s="1"/>
  <c r="B297" i="1" s="1"/>
  <c r="D297" i="1" s="1"/>
  <c r="B359" i="1" s="1"/>
  <c r="B309" i="1"/>
  <c r="D309" i="1" s="1"/>
  <c r="B327" i="1" s="1"/>
  <c r="D327" i="1" s="1"/>
  <c r="C359" i="1" s="1"/>
  <c r="J175" i="7"/>
  <c r="J173" i="7"/>
  <c r="J177" i="7" s="1"/>
  <c r="J189" i="7" s="1"/>
  <c r="J190" i="7" s="1"/>
  <c r="D200" i="7" s="1"/>
  <c r="F200" i="7" s="1"/>
  <c r="H200" i="7" s="1"/>
  <c r="J176" i="7"/>
  <c r="J174" i="7"/>
  <c r="G174" i="7"/>
  <c r="G175" i="7"/>
  <c r="G173" i="7"/>
  <c r="G177" i="7" s="1"/>
  <c r="G189" i="7" s="1"/>
  <c r="G176" i="7"/>
  <c r="E186" i="8"/>
  <c r="E161" i="8"/>
  <c r="E162" i="8" s="1"/>
  <c r="G175" i="2"/>
  <c r="G153" i="2"/>
  <c r="G154" i="2" s="1"/>
  <c r="I173" i="7"/>
  <c r="I177" i="7" s="1"/>
  <c r="I189" i="7" s="1"/>
  <c r="I190" i="7" s="1"/>
  <c r="D199" i="7" s="1"/>
  <c r="F199" i="7" s="1"/>
  <c r="H199" i="7" s="1"/>
  <c r="I176" i="7"/>
  <c r="I174" i="7"/>
  <c r="I175" i="7"/>
  <c r="H168" i="5"/>
  <c r="F184" i="7"/>
  <c r="F169" i="7"/>
  <c r="F170" i="7" s="1"/>
  <c r="I163" i="2"/>
  <c r="B105" i="1"/>
  <c r="E105" i="1" s="1"/>
  <c r="B87" i="1"/>
  <c r="D87" i="1" s="1"/>
  <c r="B96" i="1"/>
  <c r="D96" i="1" s="1"/>
  <c r="H173" i="3"/>
  <c r="H185" i="3" s="1"/>
  <c r="H186" i="3" s="1"/>
  <c r="D191" i="3" s="1"/>
  <c r="F191" i="3" s="1"/>
  <c r="H191" i="3" s="1"/>
  <c r="D27" i="6" s="1"/>
  <c r="J189" i="8"/>
  <c r="J170" i="8"/>
  <c r="J171" i="8" s="1"/>
  <c r="B320" i="1"/>
  <c r="D320" i="1" s="1"/>
  <c r="B290" i="1"/>
  <c r="D290" i="1" s="1"/>
  <c r="C154" i="1"/>
  <c r="B258" i="1"/>
  <c r="B146" i="1"/>
  <c r="D146" i="1" s="1"/>
  <c r="B137" i="1"/>
  <c r="D137" i="1" s="1"/>
  <c r="B155" i="1" s="1"/>
  <c r="H167" i="4"/>
  <c r="H169" i="4" s="1"/>
  <c r="F189" i="8"/>
  <c r="F170" i="8"/>
  <c r="F171" i="8" s="1"/>
  <c r="J167" i="2"/>
  <c r="J166" i="2"/>
  <c r="J165" i="2"/>
  <c r="J164" i="2"/>
  <c r="J168" i="2" s="1"/>
  <c r="J180" i="2" s="1"/>
  <c r="J181" i="2" s="1"/>
  <c r="D191" i="2" s="1"/>
  <c r="F191" i="2" s="1"/>
  <c r="H191" i="2" s="1"/>
  <c r="B260" i="1"/>
  <c r="B139" i="1"/>
  <c r="D139" i="1" s="1"/>
  <c r="B157" i="1" s="1"/>
  <c r="B148" i="1"/>
  <c r="D148" i="1" s="1"/>
  <c r="G171" i="8"/>
  <c r="G173" i="8"/>
  <c r="G189" i="8"/>
  <c r="G170" i="8"/>
  <c r="G190" i="8"/>
  <c r="D154" i="1"/>
  <c r="C257" i="1" s="1"/>
  <c r="E257" i="1" s="1"/>
  <c r="B319" i="1"/>
  <c r="D319" i="1" s="1"/>
  <c r="B289" i="1"/>
  <c r="D289" i="1" s="1"/>
  <c r="C153" i="1"/>
  <c r="D153" i="1" s="1"/>
  <c r="C256" i="1" s="1"/>
  <c r="E256" i="1" s="1"/>
  <c r="G169" i="4"/>
  <c r="F190" i="8"/>
  <c r="E344" i="1"/>
  <c r="B353" i="1" s="1"/>
  <c r="D353" i="1" s="1"/>
  <c r="D364" i="1" s="1"/>
  <c r="H166" i="5"/>
  <c r="H186" i="8"/>
  <c r="H161" i="8"/>
  <c r="H162" i="8" s="1"/>
  <c r="F160" i="2"/>
  <c r="F163" i="2" s="1"/>
  <c r="F178" i="2"/>
  <c r="F161" i="2"/>
  <c r="C540" i="1" l="1"/>
  <c r="B280" i="1"/>
  <c r="D280" i="1" s="1"/>
  <c r="B298" i="1" s="1"/>
  <c r="D298" i="1" s="1"/>
  <c r="B360" i="1" s="1"/>
  <c r="E360" i="1" s="1"/>
  <c r="C541" i="1" s="1"/>
  <c r="B310" i="1"/>
  <c r="D310" i="1" s="1"/>
  <c r="B328" i="1" s="1"/>
  <c r="D328" i="1" s="1"/>
  <c r="C360" i="1" s="1"/>
  <c r="H173" i="4"/>
  <c r="H172" i="4"/>
  <c r="H171" i="4"/>
  <c r="H170" i="4"/>
  <c r="F164" i="2"/>
  <c r="F165" i="2"/>
  <c r="F166" i="2"/>
  <c r="F167" i="2"/>
  <c r="D540" i="1"/>
  <c r="B311" i="1"/>
  <c r="D311" i="1" s="1"/>
  <c r="B329" i="1" s="1"/>
  <c r="D329" i="1" s="1"/>
  <c r="C361" i="1" s="1"/>
  <c r="B281" i="1"/>
  <c r="D281" i="1" s="1"/>
  <c r="B299" i="1" s="1"/>
  <c r="D299" i="1" s="1"/>
  <c r="B361" i="1" s="1"/>
  <c r="F173" i="8"/>
  <c r="C343" i="1"/>
  <c r="C114" i="1"/>
  <c r="H160" i="2"/>
  <c r="H161" i="2"/>
  <c r="H163" i="2"/>
  <c r="H178" i="2"/>
  <c r="H179" i="2" s="1"/>
  <c r="B323" i="1"/>
  <c r="D323" i="1" s="1"/>
  <c r="B293" i="1"/>
  <c r="D293" i="1" s="1"/>
  <c r="C157" i="1"/>
  <c r="B343" i="1"/>
  <c r="B114" i="1"/>
  <c r="I166" i="2"/>
  <c r="I167" i="2"/>
  <c r="I165" i="2"/>
  <c r="I164" i="2"/>
  <c r="I168" i="2" s="1"/>
  <c r="I180" i="2" s="1"/>
  <c r="I181" i="2" s="1"/>
  <c r="D190" i="2" s="1"/>
  <c r="F190" i="2" s="1"/>
  <c r="H190" i="2" s="1"/>
  <c r="H171" i="5"/>
  <c r="H170" i="5"/>
  <c r="H169" i="5"/>
  <c r="H172" i="5"/>
  <c r="J173" i="8"/>
  <c r="D343" i="1"/>
  <c r="D114" i="1"/>
  <c r="F172" i="7"/>
  <c r="G175" i="8"/>
  <c r="G176" i="8"/>
  <c r="G177" i="8"/>
  <c r="G174" i="8"/>
  <c r="G178" i="8" s="1"/>
  <c r="G191" i="8" s="1"/>
  <c r="G192" i="8" s="1"/>
  <c r="D200" i="8" s="1"/>
  <c r="F200" i="8" s="1"/>
  <c r="H200" i="8" s="1"/>
  <c r="D157" i="1"/>
  <c r="C260" i="1" s="1"/>
  <c r="E260" i="1" s="1"/>
  <c r="E359" i="1"/>
  <c r="E170" i="8"/>
  <c r="E171" i="8"/>
  <c r="E173" i="8"/>
  <c r="E189" i="8"/>
  <c r="E190" i="8" s="1"/>
  <c r="F179" i="2"/>
  <c r="G160" i="2"/>
  <c r="G161" i="2" s="1"/>
  <c r="G163" i="2" s="1"/>
  <c r="G178" i="2"/>
  <c r="E178" i="2"/>
  <c r="E160" i="2"/>
  <c r="E161" i="2" s="1"/>
  <c r="G190" i="7"/>
  <c r="H170" i="8"/>
  <c r="H171" i="8"/>
  <c r="H173" i="8"/>
  <c r="H189" i="8"/>
  <c r="H190" i="8" s="1"/>
  <c r="G170" i="4"/>
  <c r="G173" i="4"/>
  <c r="G172" i="4"/>
  <c r="G171" i="4"/>
  <c r="B291" i="1"/>
  <c r="D291" i="1" s="1"/>
  <c r="B321" i="1"/>
  <c r="D321" i="1" s="1"/>
  <c r="C155" i="1"/>
  <c r="D155" i="1" s="1"/>
  <c r="C258" i="1" s="1"/>
  <c r="E258" i="1" s="1"/>
  <c r="F188" i="7"/>
  <c r="G179" i="2"/>
  <c r="E179" i="2"/>
  <c r="B284" i="1" l="1"/>
  <c r="D284" i="1" s="1"/>
  <c r="B302" i="1" s="1"/>
  <c r="D302" i="1" s="1"/>
  <c r="B364" i="1" s="1"/>
  <c r="B314" i="1"/>
  <c r="D314" i="1" s="1"/>
  <c r="B332" i="1" s="1"/>
  <c r="D332" i="1" s="1"/>
  <c r="C364" i="1" s="1"/>
  <c r="G165" i="2"/>
  <c r="G166" i="2"/>
  <c r="G164" i="2"/>
  <c r="G168" i="2" s="1"/>
  <c r="G180" i="2" s="1"/>
  <c r="G167" i="2"/>
  <c r="B312" i="1"/>
  <c r="D312" i="1" s="1"/>
  <c r="B330" i="1" s="1"/>
  <c r="D330" i="1" s="1"/>
  <c r="C362" i="1" s="1"/>
  <c r="B282" i="1"/>
  <c r="D282" i="1" s="1"/>
  <c r="B300" i="1" s="1"/>
  <c r="D300" i="1" s="1"/>
  <c r="B362" i="1" s="1"/>
  <c r="E362" i="1" s="1"/>
  <c r="B411" i="1" s="1"/>
  <c r="D411" i="1" s="1"/>
  <c r="B420" i="1" s="1"/>
  <c r="D420" i="1" s="1"/>
  <c r="E420" i="1" s="1"/>
  <c r="B446" i="1" s="1"/>
  <c r="D446" i="1" s="1"/>
  <c r="D197" i="7"/>
  <c r="F197" i="7" s="1"/>
  <c r="H197" i="7" s="1"/>
  <c r="O190" i="7"/>
  <c r="O187" i="7"/>
  <c r="O183" i="7"/>
  <c r="O184" i="7"/>
  <c r="O185" i="7"/>
  <c r="O188" i="7"/>
  <c r="O186" i="7"/>
  <c r="G174" i="4"/>
  <c r="G186" i="4" s="1"/>
  <c r="G187" i="4" s="1"/>
  <c r="D192" i="4" s="1"/>
  <c r="F192" i="4" s="1"/>
  <c r="H192" i="4" s="1"/>
  <c r="D28" i="6" s="1"/>
  <c r="E163" i="2"/>
  <c r="J174" i="8"/>
  <c r="J178" i="8" s="1"/>
  <c r="J191" i="8" s="1"/>
  <c r="J192" i="8" s="1"/>
  <c r="D203" i="8" s="1"/>
  <c r="F203" i="8" s="1"/>
  <c r="H203" i="8" s="1"/>
  <c r="J175" i="8"/>
  <c r="J177" i="8"/>
  <c r="J176" i="8"/>
  <c r="F176" i="8"/>
  <c r="F177" i="8"/>
  <c r="F175" i="8"/>
  <c r="F174" i="8"/>
  <c r="E361" i="1"/>
  <c r="F168" i="2"/>
  <c r="F180" i="2" s="1"/>
  <c r="B430" i="1"/>
  <c r="D430" i="1" s="1"/>
  <c r="B436" i="1" s="1"/>
  <c r="D436" i="1" s="1"/>
  <c r="C444" i="1" s="1"/>
  <c r="B541" i="1"/>
  <c r="B519" i="1"/>
  <c r="D519" i="1" s="1"/>
  <c r="B544" i="1" s="1"/>
  <c r="B429" i="1"/>
  <c r="D429" i="1" s="1"/>
  <c r="B435" i="1" s="1"/>
  <c r="D435" i="1" s="1"/>
  <c r="C443" i="1" s="1"/>
  <c r="B408" i="1"/>
  <c r="D408" i="1" s="1"/>
  <c r="B417" i="1" s="1"/>
  <c r="D417" i="1" s="1"/>
  <c r="E417" i="1" s="1"/>
  <c r="B443" i="1" s="1"/>
  <c r="D443" i="1" s="1"/>
  <c r="B542" i="1" s="1"/>
  <c r="H177" i="8"/>
  <c r="H174" i="8"/>
  <c r="H176" i="8"/>
  <c r="H175" i="8"/>
  <c r="B409" i="1"/>
  <c r="D409" i="1" s="1"/>
  <c r="B418" i="1" s="1"/>
  <c r="D418" i="1" s="1"/>
  <c r="E418" i="1" s="1"/>
  <c r="B444" i="1" s="1"/>
  <c r="D444" i="1" s="1"/>
  <c r="C542" i="1" s="1"/>
  <c r="E174" i="8"/>
  <c r="E175" i="8"/>
  <c r="E176" i="8"/>
  <c r="E177" i="8"/>
  <c r="E114" i="1"/>
  <c r="E343" i="1"/>
  <c r="B352" i="1" s="1"/>
  <c r="D352" i="1" s="1"/>
  <c r="D363" i="1" s="1"/>
  <c r="H174" i="4"/>
  <c r="H186" i="4" s="1"/>
  <c r="H187" i="4" s="1"/>
  <c r="D193" i="4" s="1"/>
  <c r="F193" i="4" s="1"/>
  <c r="H193" i="4" s="1"/>
  <c r="D29" i="6" s="1"/>
  <c r="H165" i="2"/>
  <c r="H166" i="2"/>
  <c r="H167" i="2"/>
  <c r="H164" i="2"/>
  <c r="H168" i="2" s="1"/>
  <c r="H180" i="2" s="1"/>
  <c r="H181" i="2" s="1"/>
  <c r="D189" i="2" s="1"/>
  <c r="F189" i="2" s="1"/>
  <c r="H189" i="2" s="1"/>
  <c r="H173" i="5"/>
  <c r="H185" i="5" s="1"/>
  <c r="H186" i="5" s="1"/>
  <c r="D191" i="5" s="1"/>
  <c r="F191" i="5" s="1"/>
  <c r="H191" i="5" s="1"/>
  <c r="D31" i="6" s="1"/>
  <c r="O189" i="7"/>
  <c r="F175" i="7"/>
  <c r="F173" i="7"/>
  <c r="F174" i="7"/>
  <c r="F176" i="7"/>
  <c r="G181" i="2" l="1"/>
  <c r="O180" i="2"/>
  <c r="F181" i="2"/>
  <c r="N180" i="2"/>
  <c r="D541" i="1"/>
  <c r="B410" i="1"/>
  <c r="D410" i="1" s="1"/>
  <c r="B419" i="1" s="1"/>
  <c r="D419" i="1" s="1"/>
  <c r="E419" i="1" s="1"/>
  <c r="B445" i="1" s="1"/>
  <c r="D445" i="1" s="1"/>
  <c r="D542" i="1" s="1"/>
  <c r="B431" i="1"/>
  <c r="D431" i="1" s="1"/>
  <c r="B437" i="1" s="1"/>
  <c r="D437" i="1" s="1"/>
  <c r="C445" i="1" s="1"/>
  <c r="B522" i="1"/>
  <c r="D522" i="1" s="1"/>
  <c r="E364" i="1"/>
  <c r="H178" i="8"/>
  <c r="H191" i="8" s="1"/>
  <c r="H192" i="8" s="1"/>
  <c r="D201" i="8" s="1"/>
  <c r="F201" i="8" s="1"/>
  <c r="H201" i="8" s="1"/>
  <c r="B531" i="1"/>
  <c r="D531" i="1" s="1"/>
  <c r="B545" i="1" s="1"/>
  <c r="F177" i="7"/>
  <c r="F189" i="7" s="1"/>
  <c r="B546" i="1"/>
  <c r="B547" i="1" s="1"/>
  <c r="F178" i="8"/>
  <c r="F191" i="8" s="1"/>
  <c r="F192" i="8" s="1"/>
  <c r="D199" i="8" s="1"/>
  <c r="F199" i="8" s="1"/>
  <c r="H199" i="8" s="1"/>
  <c r="E164" i="2"/>
  <c r="E165" i="2"/>
  <c r="E167" i="2"/>
  <c r="E166" i="2"/>
  <c r="B520" i="1"/>
  <c r="D520" i="1" s="1"/>
  <c r="C544" i="1" s="1"/>
  <c r="B259" i="1"/>
  <c r="B147" i="1"/>
  <c r="D147" i="1" s="1"/>
  <c r="B138" i="1"/>
  <c r="D138" i="1" s="1"/>
  <c r="B156" i="1" s="1"/>
  <c r="E178" i="8"/>
  <c r="E191" i="8" s="1"/>
  <c r="E192" i="8" s="1"/>
  <c r="D198" i="8" s="1"/>
  <c r="F198" i="8" s="1"/>
  <c r="H198" i="8" s="1"/>
  <c r="D32" i="6"/>
  <c r="D33" i="6" s="1"/>
  <c r="B322" i="1" l="1"/>
  <c r="D322" i="1" s="1"/>
  <c r="B292" i="1"/>
  <c r="D292" i="1" s="1"/>
  <c r="C156" i="1"/>
  <c r="D156" i="1" s="1"/>
  <c r="C259" i="1" s="1"/>
  <c r="E259" i="1" s="1"/>
  <c r="B413" i="1"/>
  <c r="D413" i="1" s="1"/>
  <c r="B422" i="1" s="1"/>
  <c r="D422" i="1" s="1"/>
  <c r="E422" i="1" s="1"/>
  <c r="B448" i="1" s="1"/>
  <c r="D448" i="1" s="1"/>
  <c r="B521" i="1"/>
  <c r="D521" i="1" s="1"/>
  <c r="D544" i="1" s="1"/>
  <c r="N181" i="2"/>
  <c r="D187" i="2"/>
  <c r="F187" i="2" s="1"/>
  <c r="H187" i="2" s="1"/>
  <c r="N174" i="2"/>
  <c r="N177" i="2"/>
  <c r="N176" i="2"/>
  <c r="N175" i="2"/>
  <c r="N178" i="2"/>
  <c r="N179" i="2"/>
  <c r="D188" i="2"/>
  <c r="F188" i="2" s="1"/>
  <c r="H188" i="2" s="1"/>
  <c r="O181" i="2"/>
  <c r="O174" i="2"/>
  <c r="O177" i="2"/>
  <c r="O176" i="2"/>
  <c r="O175" i="2"/>
  <c r="O179" i="2"/>
  <c r="O178" i="2"/>
  <c r="F190" i="7"/>
  <c r="N189" i="7"/>
  <c r="H204" i="8"/>
  <c r="E211" i="8" s="1"/>
  <c r="E212" i="8" s="1"/>
  <c r="E168" i="2"/>
  <c r="E180" i="2" s="1"/>
  <c r="B283" i="1" l="1"/>
  <c r="D283" i="1" s="1"/>
  <c r="B301" i="1" s="1"/>
  <c r="D301" i="1" s="1"/>
  <c r="B363" i="1" s="1"/>
  <c r="B313" i="1"/>
  <c r="D313" i="1" s="1"/>
  <c r="B331" i="1" s="1"/>
  <c r="D331" i="1" s="1"/>
  <c r="C363" i="1" s="1"/>
  <c r="B524" i="1"/>
  <c r="D524" i="1" s="1"/>
  <c r="B533" i="1" s="1"/>
  <c r="D533" i="1" s="1"/>
  <c r="D545" i="1" s="1"/>
  <c r="D546" i="1" s="1"/>
  <c r="D547" i="1" s="1"/>
  <c r="M180" i="2"/>
  <c r="E181" i="2"/>
  <c r="D196" i="7"/>
  <c r="F196" i="7" s="1"/>
  <c r="H196" i="7" s="1"/>
  <c r="H201" i="7" s="1"/>
  <c r="N190" i="7"/>
  <c r="N187" i="7"/>
  <c r="N183" i="7"/>
  <c r="N185" i="7"/>
  <c r="N186" i="7"/>
  <c r="N184" i="7"/>
  <c r="N188" i="7"/>
  <c r="E363" i="1" l="1"/>
  <c r="M181" i="2"/>
  <c r="D186" i="2"/>
  <c r="F186" i="2" s="1"/>
  <c r="H186" i="2" s="1"/>
  <c r="H192" i="2" s="1"/>
  <c r="E198" i="2" s="1"/>
  <c r="E199" i="2" s="1"/>
  <c r="M174" i="2"/>
  <c r="M177" i="2"/>
  <c r="M176" i="2"/>
  <c r="M175" i="2"/>
  <c r="M179" i="2"/>
  <c r="M178" i="2"/>
  <c r="B412" i="1" l="1"/>
  <c r="D412" i="1" s="1"/>
  <c r="B421" i="1" s="1"/>
  <c r="D421" i="1" s="1"/>
  <c r="E421" i="1" s="1"/>
  <c r="B447" i="1" s="1"/>
  <c r="D447" i="1" s="1"/>
  <c r="B523" i="1" l="1"/>
  <c r="D523" i="1" s="1"/>
  <c r="B532" i="1" s="1"/>
  <c r="D532" i="1" s="1"/>
  <c r="C545" i="1" s="1"/>
  <c r="C546" i="1" s="1"/>
  <c r="C54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2" authorId="0" shapeId="0" xr:uid="{00000000-0006-0000-0000-00000F000000}">
      <text>
        <r>
          <rPr>
            <sz val="11"/>
            <color rgb="FF000000"/>
            <rFont val="Calibri"/>
            <family val="2"/>
            <charset val="1"/>
          </rPr>
          <t xml:space="preserve">Seges: </t>
        </r>
        <r>
          <rPr>
            <sz val="9"/>
            <color rgb="FF000000"/>
            <rFont val="Segoe UI"/>
            <family val="2"/>
            <charset val="1"/>
          </rPr>
          <t xml:space="preserve">Informar salário base conforme Convenção Coletiva de Trabalho vigente para a categoria e no município de prestação do serviço.
</t>
        </r>
      </text>
    </comment>
    <comment ref="C20" authorId="0" shapeId="0" xr:uid="{00000000-0006-0000-0000-000016000000}">
      <text>
        <r>
          <rPr>
            <sz val="11"/>
            <color rgb="FF000000"/>
            <rFont val="Calibri"/>
            <family val="2"/>
            <charset val="1"/>
          </rPr>
          <t xml:space="preserve">Seges: </t>
        </r>
        <r>
          <rPr>
            <sz val="9"/>
            <color rgb="FF000000"/>
            <rFont val="Segoe UI"/>
            <family val="2"/>
            <charset val="1"/>
          </rPr>
          <t xml:space="preserve">Percentual conforme definido em CCT, se houver gratificação de função.
</t>
        </r>
      </text>
    </comment>
    <comment ref="C28" authorId="0" shapeId="0" xr:uid="{00000000-0006-0000-0000-000017000000}">
      <text>
        <r>
          <rPr>
            <sz val="11"/>
            <color rgb="FF000000"/>
            <rFont val="Calibri"/>
            <family val="2"/>
            <charset val="1"/>
          </rPr>
          <t xml:space="preserve">Seges: </t>
        </r>
        <r>
          <rPr>
            <sz val="9"/>
            <color rgb="FF000000"/>
            <rFont val="Segoe UI"/>
            <family val="2"/>
            <charset val="1"/>
          </rPr>
          <t>Percentual conforme definido em CCT, quando houver adicional de periculosidade ou insabubridade</t>
        </r>
      </text>
    </comment>
    <comment ref="C41" authorId="0" shapeId="0" xr:uid="{00000000-0006-0000-0000-000018000000}">
      <text>
        <r>
          <rPr>
            <sz val="11"/>
            <color rgb="FF000000"/>
            <rFont val="Calibri"/>
            <family val="2"/>
            <charset val="1"/>
          </rPr>
          <t xml:space="preserve">Seges: </t>
        </r>
        <r>
          <rPr>
            <sz val="9"/>
            <color rgb="FF000000"/>
            <rFont val="Segoe UI"/>
            <family val="2"/>
            <charset val="1"/>
          </rPr>
          <t xml:space="preserve">Considera hora noturna de 22h às 5h do dia segunte, portanto 7 horas noturnas de uma jornada de 12h. </t>
        </r>
      </text>
    </comment>
    <comment ref="C45" authorId="0" shapeId="0" xr:uid="{00000000-0006-0000-0000-000019000000}">
      <text>
        <r>
          <rPr>
            <sz val="11"/>
            <color rgb="FF000000"/>
            <rFont val="Calibri"/>
            <family val="2"/>
            <charset val="1"/>
          </rPr>
          <t xml:space="preserve">Seges:
</t>
        </r>
        <r>
          <rPr>
            <sz val="9"/>
            <color rgb="FF000000"/>
            <rFont val="Segoe UI"/>
            <family val="2"/>
            <charset val="1"/>
          </rPr>
          <t xml:space="preserve">A título de pagamento adicional computa-se o pagamento de 7min e 30 s a cada hora noturna, por 7 horas, totalizando 52min e 30 s, que significa 1 hora da jornada de 12h.
</t>
        </r>
      </text>
    </comment>
    <comment ref="D45" authorId="0" shapeId="0" xr:uid="{00000000-0006-0000-0000-000022000000}">
      <text>
        <r>
          <rPr>
            <sz val="11"/>
            <color rgb="FF000000"/>
            <rFont val="Calibri"/>
            <family val="2"/>
            <charset val="1"/>
          </rPr>
          <t>Seges:</t>
        </r>
        <r>
          <rPr>
            <sz val="9"/>
            <color rgb="FF000000"/>
            <rFont val="Segoe UI"/>
            <family val="2"/>
            <charset val="1"/>
          </rPr>
          <t xml:space="preserve"> Por tratar-se de hora considerada a mais, calcula-se pagamento de 100% da hora, acrescida do respectivo adicional noturno.</t>
        </r>
      </text>
    </comment>
    <comment ref="A48" authorId="0" shapeId="0" xr:uid="{00000000-0006-0000-0000-000001000000}">
      <text>
        <r>
          <rPr>
            <sz val="11"/>
            <color rgb="FF000000"/>
            <rFont val="Calibri"/>
            <family val="2"/>
            <charset val="1"/>
          </rPr>
          <t xml:space="preserve">Seges: </t>
        </r>
        <r>
          <rPr>
            <sz val="9"/>
            <color rgb="FF000000"/>
            <rFont val="Segoe UI"/>
            <family val="2"/>
            <charset val="1"/>
          </rPr>
          <t>Tabela resumo da totalização do Adicional noturno.
Automatizada, desde que não haja alterações de fórmulas ou estrutura da planilha.</t>
        </r>
      </text>
    </comment>
    <comment ref="A68" authorId="0" shapeId="0" xr:uid="{00000000-0006-0000-0000-000002000000}">
      <text>
        <r>
          <rPr>
            <sz val="11"/>
            <color rgb="FF000000"/>
            <rFont val="Calibri"/>
            <family val="2"/>
            <charset val="1"/>
          </rPr>
          <t xml:space="preserve">Seges: </t>
        </r>
        <r>
          <rPr>
            <sz val="9"/>
            <color rgb="FF000000"/>
            <rFont val="Segoe UI"/>
            <family val="2"/>
            <charset val="1"/>
          </rPr>
          <t xml:space="preserve">Automatizada, desde que não haja alterações de fórmulas ou estrutura da planilha.
</t>
        </r>
      </text>
    </comment>
    <comment ref="C82" authorId="0" shapeId="0" xr:uid="{00000000-0006-0000-0000-00001A000000}">
      <text>
        <r>
          <rPr>
            <sz val="11"/>
            <color rgb="FF000000"/>
            <rFont val="Calibri"/>
            <family val="2"/>
            <charset val="1"/>
          </rPr>
          <t xml:space="preserve">Seges: </t>
        </r>
        <r>
          <rPr>
            <sz val="9"/>
            <color rgb="FF000000"/>
            <rFont val="Segoe UI"/>
            <family val="2"/>
            <charset val="1"/>
          </rPr>
          <t>Por tratar-se de planilha mensal será contabilizado 1/12 avos do custo.</t>
        </r>
      </text>
    </comment>
    <comment ref="A90" authorId="0" shapeId="0" xr:uid="{00000000-0006-0000-0000-000003000000}">
      <text>
        <r>
          <rPr>
            <sz val="11"/>
            <color rgb="FF000000"/>
            <rFont val="Calibri"/>
            <family val="2"/>
            <charset val="1"/>
          </rPr>
          <t xml:space="preserve">Seges: </t>
        </r>
        <r>
          <rPr>
            <sz val="9"/>
            <color rgb="FF000000"/>
            <rFont val="Segoe UI"/>
            <family val="2"/>
            <charset val="1"/>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1" authorId="0" shapeId="0" xr:uid="{00000000-0006-0000-0000-00001B000000}">
      <text>
        <r>
          <rPr>
            <sz val="11"/>
            <color rgb="FF000000"/>
            <rFont val="Calibri"/>
            <family val="2"/>
            <charset val="1"/>
          </rPr>
          <t>Seges:</t>
        </r>
        <r>
          <rPr>
            <sz val="9"/>
            <color rgb="FF000000"/>
            <rFont val="Segoe UI"/>
            <family val="2"/>
            <charset val="1"/>
          </rPr>
          <t xml:space="preserve"> Corresponde ao previsto na Constituição. Adicional de 1/3 a mais do salário normal.
</t>
        </r>
      </text>
    </comment>
    <comment ref="A108" authorId="0" shapeId="0" xr:uid="{00000000-0006-0000-0000-000004000000}">
      <text>
        <r>
          <rPr>
            <sz val="11"/>
            <color rgb="FF000000"/>
            <rFont val="Calibri"/>
            <family val="2"/>
            <charset val="1"/>
          </rPr>
          <t xml:space="preserve">Seges: </t>
        </r>
        <r>
          <rPr>
            <sz val="9"/>
            <color rgb="FF000000"/>
            <rFont val="Segoe UI"/>
            <family val="2"/>
            <charset val="1"/>
          </rPr>
          <t xml:space="preserve">apenas totaliza a previsão mensal de custos com 13° Salário, Férias e Adicional de Férias.
</t>
        </r>
      </text>
    </comment>
    <comment ref="B124" authorId="0" shapeId="0" xr:uid="{00000000-0006-0000-0000-000010000000}">
      <text>
        <r>
          <rPr>
            <sz val="11"/>
            <color rgb="FF000000"/>
            <rFont val="Calibri"/>
            <family val="2"/>
            <charset val="1"/>
          </rPr>
          <t xml:space="preserve">Seges: </t>
        </r>
        <r>
          <rPr>
            <sz val="9"/>
            <color rgb="FF000000"/>
            <rFont val="Segoe UI"/>
            <family val="2"/>
            <charset val="1"/>
          </rPr>
          <t xml:space="preserve">Informar o percentual adequado à categoria profissional a ser contratada para a prestação do serviço.
</t>
        </r>
      </text>
    </comment>
    <comment ref="C134" authorId="0" shapeId="0" xr:uid="{00000000-0006-0000-0000-00001C000000}">
      <text>
        <r>
          <rPr>
            <sz val="11"/>
            <color rgb="FF000000"/>
            <rFont val="Calibri"/>
            <family val="2"/>
            <charset val="1"/>
          </rPr>
          <t xml:space="preserve">Seges: </t>
        </r>
        <r>
          <rPr>
            <sz val="9"/>
            <color rgb="FF000000"/>
            <rFont val="Segoe UI"/>
            <family val="2"/>
            <charset val="1"/>
          </rPr>
          <t xml:space="preserve">Corresponde ao somatório dos encargos para financiamento da seguridade social.
O percentual será alterado quando do preenchimento da aliquota do SAT/GIIL-RAT
</t>
        </r>
      </text>
    </comment>
    <comment ref="C143" authorId="0" shapeId="0" xr:uid="{00000000-0006-0000-0000-00001D000000}">
      <text>
        <r>
          <rPr>
            <sz val="11"/>
            <color rgb="FF000000"/>
            <rFont val="Calibri"/>
            <family val="2"/>
            <charset val="1"/>
          </rPr>
          <t xml:space="preserve">Seges: </t>
        </r>
        <r>
          <rPr>
            <sz val="9"/>
            <color rgb="FF000000"/>
            <rFont val="Segoe UI"/>
            <family val="2"/>
            <charset val="1"/>
          </rPr>
          <t xml:space="preserve">Alíquota mensal de depóstio à título de FGTS, conforme Lei n° 8.036, de 1990.
</t>
        </r>
      </text>
    </comment>
    <comment ref="A150" authorId="0" shapeId="0" xr:uid="{00000000-0006-0000-0000-000005000000}">
      <text>
        <r>
          <rPr>
            <sz val="11"/>
            <color rgb="FF000000"/>
            <rFont val="Calibri"/>
            <family val="2"/>
            <charset val="1"/>
          </rPr>
          <t xml:space="preserve">Seges: </t>
        </r>
        <r>
          <rPr>
            <sz val="9"/>
            <color rgb="FF000000"/>
            <rFont val="Segoe UI"/>
            <family val="2"/>
            <charset val="1"/>
          </rPr>
          <t xml:space="preserve">Totalização dos Encargos. Automatizada, desde que não haja alteração nas fórmulas e estrutura da planilha.
</t>
        </r>
      </text>
    </comment>
    <comment ref="B165" authorId="0" shapeId="0" xr:uid="{00000000-0006-0000-0000-000011000000}">
      <text>
        <r>
          <rPr>
            <sz val="11"/>
            <color rgb="FF000000"/>
            <rFont val="Calibri"/>
            <family val="2"/>
            <charset val="1"/>
          </rPr>
          <t xml:space="preserve">Seges: </t>
        </r>
        <r>
          <rPr>
            <sz val="9"/>
            <color rgb="FF000000"/>
            <rFont val="Segoe UI"/>
            <family val="2"/>
            <charset val="1"/>
          </rPr>
          <t xml:space="preserve">Valor da tarifa de transporte público praticada no município de prestação do serviço.
</t>
        </r>
      </text>
    </comment>
    <comment ref="D166" authorId="0" shapeId="0" xr:uid="{00000000-0006-0000-0000-000023000000}">
      <text>
        <r>
          <rPr>
            <sz val="11"/>
            <color rgb="FF000000"/>
            <rFont val="Calibri"/>
            <family val="2"/>
            <charset val="1"/>
          </rPr>
          <t xml:space="preserve">Seges: </t>
        </r>
        <r>
          <rPr>
            <sz val="9"/>
            <color rgb="FF000000"/>
            <rFont val="Segoe UI"/>
            <family val="2"/>
            <charset val="1"/>
          </rPr>
          <t xml:space="preserve">apenas sugerido, depende de disposições constantes na CCT.
</t>
        </r>
      </text>
    </comment>
    <comment ref="C174" authorId="0" shapeId="0" xr:uid="{00000000-0006-0000-0000-00001E000000}">
      <text>
        <r>
          <rPr>
            <sz val="11"/>
            <color rgb="FF000000"/>
            <rFont val="Calibri"/>
            <family val="2"/>
            <charset val="1"/>
          </rPr>
          <t xml:space="preserve">Seges: exemplificativo... </t>
        </r>
        <r>
          <rPr>
            <sz val="9"/>
            <color rgb="FF000000"/>
            <rFont val="Segoe UI"/>
            <family val="2"/>
            <charset val="1"/>
          </rPr>
          <t xml:space="preserve">O desconto poderá ser proporcional, conforme disposto no art. 10 do Decreto n° 95.247, de 1987.
O órgão contatante deverá apreciar o comportamento das empresas prestadoras de serviço e ajustar, conforme necessidade.
</t>
        </r>
      </text>
    </comment>
    <comment ref="B194" authorId="0" shapeId="0" xr:uid="{00000000-0006-0000-0000-000012000000}">
      <text>
        <r>
          <rPr>
            <sz val="11"/>
            <color rgb="FF000000"/>
            <rFont val="Calibri"/>
            <family val="2"/>
            <charset val="1"/>
          </rPr>
          <t xml:space="preserve">Seges: </t>
        </r>
        <r>
          <rPr>
            <sz val="9"/>
            <color rgb="FF000000"/>
            <rFont val="Segoe UI"/>
            <family val="2"/>
            <charset val="1"/>
          </rPr>
          <t xml:space="preserve">Conforme estabelecido em Convenção Coletiva de Trabalho
</t>
        </r>
      </text>
    </comment>
    <comment ref="C195" authorId="0" shapeId="0" xr:uid="{00000000-0006-0000-0000-00001F000000}">
      <text>
        <r>
          <rPr>
            <sz val="11"/>
            <color rgb="FF000000"/>
            <rFont val="Calibri"/>
            <family val="2"/>
            <charset val="1"/>
          </rPr>
          <t xml:space="preserve">Seges: </t>
        </r>
        <r>
          <rPr>
            <sz val="9"/>
            <color rgb="FF000000"/>
            <rFont val="Segoe UI"/>
            <family val="2"/>
            <charset val="1"/>
          </rPr>
          <t xml:space="preserve">apenas sugerido, depende de disposições constantes na CCT.
</t>
        </r>
      </text>
    </comment>
    <comment ref="C203" authorId="0" shapeId="0" xr:uid="{00000000-0006-0000-0000-000020000000}">
      <text>
        <r>
          <rPr>
            <sz val="11"/>
            <color rgb="FF000000"/>
            <rFont val="Calibri"/>
            <family val="2"/>
            <charset val="1"/>
          </rPr>
          <t xml:space="preserve">Seges: </t>
        </r>
        <r>
          <rPr>
            <sz val="9"/>
            <color rgb="FF000000"/>
            <rFont val="Segoe UI"/>
            <family val="2"/>
            <charset val="1"/>
          </rPr>
          <t xml:space="preserve">Observar desconto informado em Convenção Coletiva.
</t>
        </r>
      </text>
    </comment>
    <comment ref="B204" authorId="0" shapeId="0" xr:uid="{00000000-0006-0000-0000-000013000000}">
      <text>
        <r>
          <rPr>
            <sz val="11"/>
            <color rgb="FF000000"/>
            <rFont val="Calibri"/>
            <family val="2"/>
            <charset val="1"/>
          </rPr>
          <t xml:space="preserve">Seges: </t>
        </r>
        <r>
          <rPr>
            <sz val="9"/>
            <color rgb="FF000000"/>
            <rFont val="Segoe UI"/>
            <family val="2"/>
            <charset val="1"/>
          </rPr>
          <t>Observar Convenção Coletiva sobre base de cálculo, habitualmente o desconto é sobre o valor do benefício concedido.</t>
        </r>
      </text>
    </comment>
    <comment ref="A242" authorId="0" shapeId="0" xr:uid="{00000000-0006-0000-0000-000006000000}">
      <text>
        <r>
          <rPr>
            <sz val="11"/>
            <color rgb="FF000000"/>
            <rFont val="Calibri"/>
            <family val="2"/>
            <charset val="1"/>
          </rPr>
          <t xml:space="preserve">Seges: </t>
        </r>
        <r>
          <rPr>
            <sz val="9"/>
            <color rgb="FF000000"/>
            <rFont val="Segoe UI"/>
            <family val="2"/>
            <charset val="1"/>
          </rPr>
          <t>Apenas totaliza os custos efetivos com benefícios mensais do trabalhador.
Automatizada, desde que não haja alteração de fórmulas ou estrutura da planilha</t>
        </r>
      </text>
    </comment>
    <comment ref="A253" authorId="0" shapeId="0" xr:uid="{00000000-0006-0000-0000-000007000000}">
      <text>
        <r>
          <rPr>
            <sz val="11"/>
            <color rgb="FF000000"/>
            <rFont val="Calibri"/>
            <family val="2"/>
            <charset val="1"/>
          </rPr>
          <t xml:space="preserve">Seges: </t>
        </r>
        <r>
          <rPr>
            <sz val="9"/>
            <color rgb="FF000000"/>
            <rFont val="Segoe UI"/>
            <family val="2"/>
            <charset val="1"/>
          </rPr>
          <t xml:space="preserve">Totaliza o módulo 2, com somatória de 13° salário, férias, adicional, encargos e benefícios.
</t>
        </r>
      </text>
    </comment>
    <comment ref="B268" authorId="0" shapeId="0" xr:uid="{00000000-0006-0000-0000-000014000000}">
      <text>
        <r>
          <rPr>
            <sz val="11"/>
            <color rgb="FF000000"/>
            <rFont val="Calibri"/>
            <family val="2"/>
            <charset val="1"/>
          </rPr>
          <t xml:space="preserve">Seges: exemplificativo
</t>
        </r>
        <r>
          <rPr>
            <sz val="9"/>
            <color rgb="FF000000"/>
            <rFont val="Segoe UI"/>
            <family val="2"/>
            <charset val="1"/>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7" authorId="0" shapeId="0" xr:uid="{00000000-0006-0000-0000-000008000000}">
      <text>
        <r>
          <rPr>
            <sz val="11"/>
            <color rgb="FF000000"/>
            <rFont val="Calibri"/>
            <family val="2"/>
            <charset val="1"/>
          </rPr>
          <t xml:space="preserve">Seges:
</t>
        </r>
        <r>
          <rPr>
            <sz val="9"/>
            <color rgb="FF000000"/>
            <rFont val="Segoe UI"/>
            <family val="2"/>
            <charset val="1"/>
          </rPr>
          <t>Totaliza o custo estimado a ser provisionado mensalmente. Está automatizada, desde que não haja alteração de fórmulas e/ou estrutura da planilha.</t>
        </r>
      </text>
    </comment>
    <comment ref="B371" authorId="0" shapeId="0" xr:uid="{00000000-0006-0000-0000-000015000000}">
      <text>
        <r>
          <rPr>
            <sz val="11"/>
            <color rgb="FF000000"/>
            <rFont val="Calibri"/>
            <family val="2"/>
            <charset val="1"/>
          </rPr>
          <t xml:space="preserve">Seges: </t>
        </r>
        <r>
          <rPr>
            <sz val="9"/>
            <color rgb="FF000000"/>
            <rFont val="Segoe UI"/>
            <family val="2"/>
            <charset val="1"/>
          </rPr>
          <t xml:space="preserve">Probabilidade de ocorrência de ausência do profissional residente quando será necessária a presença de um repositor. O órgão deverá observar o histórico das contratações anteriores para estimar tais probabilidades.
</t>
        </r>
      </text>
    </comment>
    <comment ref="C371" authorId="0" shapeId="0" xr:uid="{00000000-0006-0000-0000-000021000000}">
      <text>
        <r>
          <rPr>
            <sz val="11"/>
            <color rgb="FF000000"/>
            <rFont val="Calibri"/>
            <family val="2"/>
            <charset val="1"/>
          </rPr>
          <t xml:space="preserve">Segesl: </t>
        </r>
        <r>
          <rPr>
            <sz val="9"/>
            <color rgb="FF000000"/>
            <rFont val="Segoe UI"/>
            <family val="2"/>
            <charset val="1"/>
          </rPr>
          <t xml:space="preserve">Duração computada em dias, conforme previsão em legislação.
</t>
        </r>
      </text>
    </comment>
    <comment ref="A386" authorId="0" shapeId="0" xr:uid="{00000000-0006-0000-0000-000009000000}">
      <text>
        <r>
          <rPr>
            <sz val="11"/>
            <color rgb="FF000000"/>
            <rFont val="Calibri"/>
            <family val="2"/>
            <charset val="1"/>
          </rPr>
          <t xml:space="preserve">Seges: </t>
        </r>
        <r>
          <rPr>
            <sz val="9"/>
            <color rgb="FF000000"/>
            <rFont val="Segoe UI"/>
            <family val="2"/>
            <charset val="1"/>
          </rPr>
          <t>Esta tabela apresenta o resumo dos dias prováveis de ausência, quando seria necessária a presença de um profissional repositor.
Seu cálculo está automatizado mediante preenchimento da tabela anterior.</t>
        </r>
      </text>
    </comment>
    <comment ref="A389" authorId="0" shapeId="0" xr:uid="{00000000-0006-0000-0000-00000A000000}">
      <text>
        <r>
          <rPr>
            <sz val="11"/>
            <color rgb="FF000000"/>
            <rFont val="Calibri"/>
            <family val="2"/>
            <charset val="1"/>
          </rPr>
          <t xml:space="preserve">Seges: </t>
        </r>
        <r>
          <rPr>
            <sz val="9"/>
            <color rgb="FF000000"/>
            <rFont val="Segoe UI"/>
            <family val="2"/>
            <charset val="1"/>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5" authorId="0" shapeId="0" xr:uid="{00000000-0006-0000-0000-00000B000000}">
      <text>
        <r>
          <rPr>
            <sz val="11"/>
            <color rgb="FF000000"/>
            <rFont val="Calibri"/>
            <family val="2"/>
            <charset val="1"/>
          </rPr>
          <t xml:space="preserve">Seges: </t>
        </r>
        <r>
          <rPr>
            <sz val="9"/>
            <color rgb="FF000000"/>
            <rFont val="Segoe UI"/>
            <family val="2"/>
            <charset val="1"/>
          </rPr>
          <t xml:space="preserve">Tabela automatizada para cálculo do custo mensal com reposição do profissional ausente, mediante preenchimento das anteriores. Desde que não haja alteração de fórmulas e/ou estrutura da planilha.
</t>
        </r>
      </text>
    </comment>
    <comment ref="A441" authorId="0" shapeId="0" xr:uid="{00000000-0006-0000-0000-00000C000000}">
      <text>
        <r>
          <rPr>
            <sz val="11"/>
            <color rgb="FF000000"/>
            <rFont val="Calibri"/>
            <family val="2"/>
            <charset val="1"/>
          </rPr>
          <t>Seges:</t>
        </r>
        <r>
          <rPr>
            <sz val="9"/>
            <color rgb="FF000000"/>
            <rFont val="Segoe UI"/>
            <family val="2"/>
            <charset val="1"/>
          </rPr>
          <t xml:space="preserve"> Esta tabela totaliza os custos com reposição de profissional ausente e está automatizada mediante preenchimento das anteriores. Desde que não haja alteração de fórmulas e/ou estrutura da planilha.</t>
        </r>
      </text>
    </comment>
    <comment ref="D453" authorId="0" shapeId="0" xr:uid="{00000000-0006-0000-0000-000024000000}">
      <text>
        <r>
          <rPr>
            <sz val="11"/>
            <color rgb="FF000000"/>
            <rFont val="Calibri"/>
            <family val="2"/>
            <charset val="1"/>
          </rPr>
          <t>Seges:</t>
        </r>
        <r>
          <rPr>
            <sz val="9"/>
            <color rgb="FF000000"/>
            <rFont val="Segoe UI"/>
            <family val="2"/>
            <charset val="1"/>
          </rPr>
          <t xml:space="preserve"> todos os itens relacionados a insumos deverão ser objeto de pesquisa de preços conforme diretrizes da Instrução Normativa específica (IN n° 3, de 20 de abril de 2017).
</t>
        </r>
      </text>
    </comment>
    <comment ref="A512" authorId="0" shapeId="0" xr:uid="{00000000-0006-0000-0000-00000D000000}">
      <text>
        <r>
          <rPr>
            <sz val="11"/>
            <color rgb="FF000000"/>
            <rFont val="Calibri"/>
            <family val="2"/>
            <charset val="1"/>
          </rPr>
          <t xml:space="preserve">Seges: </t>
        </r>
        <r>
          <rPr>
            <sz val="10"/>
            <color rgb="FF000000"/>
            <rFont val="Segoe UI"/>
            <family val="2"/>
            <charset val="1"/>
          </rPr>
          <t>Nesta tabela poderão ser informados os percentuais previstos de Custos Indiretos, Tributos e Lucro separadamente para permitir o cálculo automático segundo metodologia Seges. Desde que não haja alteração de modelo da planilha e de fórmulas.</t>
        </r>
      </text>
    </comment>
    <comment ref="A537" authorId="0" shapeId="0" xr:uid="{00000000-0006-0000-0000-00000E000000}">
      <text>
        <r>
          <rPr>
            <sz val="11"/>
            <color rgb="FF000000"/>
            <rFont val="Calibri"/>
            <family val="2"/>
            <charset val="1"/>
          </rPr>
          <t xml:space="preserve">Seges: </t>
        </r>
        <r>
          <rPr>
            <sz val="9"/>
            <color rgb="FF000000"/>
            <rFont val="Segoe UI"/>
            <family val="2"/>
            <charset val="1"/>
          </rPr>
          <t>Esta tabela totaliza o custo do trabalhador e está automatizada, desde que não haja alteração nas formulas e no modelo da presente planilha. Ajustes necessários são responsailidade do órgão contratante, por quem deverão ser conferidos.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83" authorId="0" shapeId="0" xr:uid="{00000000-0006-0000-0800-000001000000}">
      <text>
        <r>
          <rPr>
            <b/>
            <sz val="9"/>
            <color rgb="FF000000"/>
            <rFont val="Segoe UI"/>
            <family val="2"/>
            <charset val="1"/>
          </rPr>
          <t>CONFIRMAR ESSA INFORMAÇÃO</t>
        </r>
      </text>
    </comment>
  </commentList>
</comments>
</file>

<file path=xl/sharedStrings.xml><?xml version="1.0" encoding="utf-8"?>
<sst xmlns="http://schemas.openxmlformats.org/spreadsheetml/2006/main" count="2674" uniqueCount="464">
  <si>
    <t>PLANILHA DE CUSTOS E FORMAÇÃO DE PREÇOS</t>
  </si>
  <si>
    <t xml:space="preserve">MODELO DE FORMAÇÃO DE CUSTO MENSAL PARA UM EMPREGADO </t>
  </si>
  <si>
    <t>* A planilha de custos e formação de preços é ferramenta de apoio à realização de estimativas da contratação e para a análise das propostas na fase de pregão e nas prorrogações contratuais.
* O modelo disponibilizado na Instrução Normativa n° 5, de 26 de maio de 2017, é inspiracional, devendo ser adaptado pelo órgão ou entidade contratante às suas necessidades.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</si>
  <si>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MÓDULO 1 - REMUNERAÇÃO</t>
  </si>
  <si>
    <t>* A remuneração é definida no art. 457 da Consolidação das Leis do Trabalho. 
* É composta por Salário Base, Adicionais (noturno, de insalubridade ou periculosidade) e gratificações, quando houver.</t>
  </si>
  <si>
    <t>SALÁRIO BASE</t>
  </si>
  <si>
    <t>* O Salário Base vem definido na Convenção Coletiva de Trabalho da categoria profissional a ser contratada para o objeto da prestação de serviço. 
* O contratante deverá observar se a CCT abrange o município de prestação de serviço e se está vigente.</t>
  </si>
  <si>
    <t>Cargo A</t>
  </si>
  <si>
    <t>Cargo B</t>
  </si>
  <si>
    <t>GRATIFICAÇÃO DE FUNÇÃO</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</si>
  <si>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</si>
  <si>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Categoria</t>
  </si>
  <si>
    <t>Base de cálculo</t>
  </si>
  <si>
    <t>Percentual</t>
  </si>
  <si>
    <t>Valor da Gratificação</t>
  </si>
  <si>
    <t>ADICIONAIS (periculosidade ou insalubridade, se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</si>
  <si>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</si>
  <si>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ADICIONAL DE XXX</t>
  </si>
  <si>
    <t>Valor</t>
  </si>
  <si>
    <t>Cargo A (12x36 Diurno)</t>
  </si>
  <si>
    <t>Vigilante Armado Diurno</t>
  </si>
  <si>
    <t>Cargo A (12x36 Noturno)</t>
  </si>
  <si>
    <t>Vigilante Armado Noturno</t>
  </si>
  <si>
    <t>Cargo A Cargo A (44h semanais)</t>
  </si>
  <si>
    <t>Vigilante Supervisor ADM</t>
  </si>
  <si>
    <t>Cargo B (12x36 Diurno)</t>
  </si>
  <si>
    <t>Cargo B (12x36 Noturno)</t>
  </si>
  <si>
    <t>Cargo B (44h semanais)</t>
  </si>
  <si>
    <t>ADICIONAL NOTURNO</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</si>
  <si>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</si>
  <si>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t>Base de Cálculo</t>
  </si>
  <si>
    <t>Proporção</t>
  </si>
  <si>
    <t>HORA NOTURNA REDUZIDA</t>
  </si>
  <si>
    <t>ADICIONAL POR TRABALHO NOTURNO</t>
  </si>
  <si>
    <t>Adicional Noturno</t>
  </si>
  <si>
    <t>Hora Noturna
Reduzida</t>
  </si>
  <si>
    <t>ADICIONAL XXX</t>
  </si>
  <si>
    <t>* Em caso de previsão de outros adicionais em Convenção Coletiva de Trabalho o órgão poderá utilizar este campo.</t>
  </si>
  <si>
    <t>Cargo A (44h semanais)</t>
  </si>
  <si>
    <t>Este quadro totaliza a remuneração devida ao trabalhador, conforme previsão da Consolidação das Leis do Trabalho e valores disponíveis na Convenção Coletiva para a categoria</t>
  </si>
  <si>
    <t>Salário Base</t>
  </si>
  <si>
    <t>Gratificação de função</t>
  </si>
  <si>
    <t>Adicional de Periculosidade ou Insalubridade</t>
  </si>
  <si>
    <t>Adicional XXX</t>
  </si>
  <si>
    <t>Total</t>
  </si>
  <si>
    <t>MÓDULO 2 - ENCARGOS E BENEFÍCIOS (ANUAIS, MENSAIS E DIÁRIOS)</t>
  </si>
  <si>
    <t>SUBMÓDULO 2.1 – 13° SALÁRIO, FÉRIAS E ADICIONAL DE FÉRIAS</t>
  </si>
  <si>
    <t>13° SALÁRIO
Previsto no Decreto 57.155, de 1965.</t>
  </si>
  <si>
    <t>Provisionamento Mensal</t>
  </si>
  <si>
    <t>FÉRIAS
Previsto no art. 7° da Constituição Federal</t>
  </si>
  <si>
    <t>ADICIONAL DE FÉRIAS - 1/3 CONSTITUCIONAL</t>
  </si>
  <si>
    <t>Alíquota Adicional</t>
  </si>
  <si>
    <t>13° Salário</t>
  </si>
  <si>
    <t xml:space="preserve">Férias </t>
  </si>
  <si>
    <t>1/3 Constitucional</t>
  </si>
  <si>
    <t>SUBMÓDULO 2.2 - ENCARGOS PREVIDENCIÁRIOS E FGTS</t>
  </si>
  <si>
    <t>* Previsto no art. 195 da Constituição Federal. 
* Os percentuais informados não são taxativos e deverão observar o enquadramento real das empresas prestadoras de serviço, em especial no que diz respeito ao SAT-GIIL/RAT.</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</si>
  <si>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</si>
  <si>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</si>
  <si>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</si>
  <si>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</si>
  <si>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</si>
  <si>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</si>
  <si>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</si>
  <si>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</si>
  <si>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</si>
  <si>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</si>
  <si>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</si>
  <si>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</si>
  <si>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</si>
  <si>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</si>
  <si>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</si>
  <si>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</si>
  <si>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VALE TRANSPORTE</t>
  </si>
  <si>
    <t>CUSTO DA PASSAGEM</t>
  </si>
  <si>
    <t>Vr. Unitário</t>
  </si>
  <si>
    <t xml:space="preserve">Vales por dia </t>
  </si>
  <si>
    <t>Dias efetivamente trabalhados</t>
  </si>
  <si>
    <t>Custo total</t>
  </si>
  <si>
    <t>DESCONTO DO VALE TRANSPORTE</t>
  </si>
  <si>
    <t>Proporcionalidade</t>
  </si>
  <si>
    <t>Desconto</t>
  </si>
  <si>
    <t>CUSTO EFETIVO DO VALE TRANSPORTE</t>
  </si>
  <si>
    <t>Valor do desconto</t>
  </si>
  <si>
    <t>Custo efetivo</t>
  </si>
  <si>
    <t>VALE ALIMENTAÇÃO/REFEIÇÃO</t>
  </si>
  <si>
    <t>Valor diário</t>
  </si>
  <si>
    <t>DESCONTO DO VALE ALIMENTAÇÃO/REFEIÇÃO</t>
  </si>
  <si>
    <t>CUSTO EFETIVO DO VALE ALIMENTAÇÃO/REFEIÇÃO</t>
  </si>
  <si>
    <r>
      <rPr>
        <b/>
        <sz val="12"/>
        <color rgb="FF000000"/>
        <rFont val="Arial"/>
        <family val="2"/>
        <charset val="1"/>
      </rPr>
      <t xml:space="preserve">BENEFÍCIO XXX
</t>
    </r>
    <r>
      <rPr>
        <sz val="12"/>
        <color rgb="FFFF0000"/>
        <rFont val="Arial"/>
        <family val="2"/>
        <charset val="1"/>
      </rPr>
      <t>Utilizar este campo em caso de outros benefícios previstos em Convenção Coletiva, sempre especificando o tipo, finalidade e previsão legal do mesmo.</t>
    </r>
  </si>
  <si>
    <t>BENEFÍCIO xxx</t>
  </si>
  <si>
    <r>
      <rPr>
        <b/>
        <sz val="12"/>
        <color rgb="FF000000"/>
        <rFont val="Arial"/>
        <family val="2"/>
        <charset val="1"/>
      </rPr>
      <t xml:space="preserve">BENEFÍCIO YYY
</t>
    </r>
    <r>
      <rPr>
        <sz val="12"/>
        <color rgb="FFFF0000"/>
        <rFont val="Arial"/>
        <family val="2"/>
        <charset val="1"/>
      </rPr>
      <t>Utilizar este campo em caso de outros benefícios previstos em Convenção Coletiva, sempre especificando o tipo, finalidade e previsão legal do mesmo.</t>
    </r>
  </si>
  <si>
    <t>BENEFÍCIO yyy</t>
  </si>
  <si>
    <t>Vale Transporte</t>
  </si>
  <si>
    <t>Vale Refeição</t>
  </si>
  <si>
    <t>Benefício x</t>
  </si>
  <si>
    <t>Benefício y</t>
  </si>
  <si>
    <t>Submódulo 2.1</t>
  </si>
  <si>
    <t>Submódulo 2.2</t>
  </si>
  <si>
    <t>Submódulo 2.3</t>
  </si>
  <si>
    <t>MÓDULO 3 - PROVISÃO PARA RESCISÃO</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</si>
  <si>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</si>
  <si>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</si>
  <si>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</si>
  <si>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</si>
  <si>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</si>
  <si>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</si>
  <si>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</si>
  <si>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</si>
  <si>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</si>
  <si>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</si>
  <si>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AVISO PRÉVIO INDENIZADO</t>
  </si>
  <si>
    <t>MULTA DO FGTS E CONTRIBUIÇÃO SOCIAL SOBRE O AVISO PRÉVIO INDENIZADO</t>
  </si>
  <si>
    <t>Percentual da 
Multa</t>
  </si>
  <si>
    <t>SUBMÓDULO 3.1 - CUSTO DO AVISO PRÉVIO INDENIZADO</t>
  </si>
  <si>
    <t>SUBMÓDULO 3.2 - AVISO PRÉVIO TRABALHADO</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</si>
  <si>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</si>
  <si>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AVISO PRÉVIO TRABALHADO</t>
  </si>
  <si>
    <t>MULTA DO FGTS E CONTRIBUIÇÃO SOCIAL SOBRE O AVISO PRÉVIO TRABALHADO</t>
  </si>
  <si>
    <t>SUBMÓDULO 3.2 - CUSTO DO AVISO PRÉVIO TRABALHADO</t>
  </si>
  <si>
    <t>SUBMÓDULO 3.3 - DEMISSÃO POR JUSTA CAUSA</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</si>
  <si>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</si>
  <si>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BASE DE CÁLCULO PARA DEMISSÃO POR JUSTA CAUSA</t>
  </si>
  <si>
    <t>Valor provisionado do 13º Salário</t>
  </si>
  <si>
    <t>Valor provisionado das Férias</t>
  </si>
  <si>
    <t>Valor provisionado do Adicional de Férias</t>
  </si>
  <si>
    <t>SUBMÓDULO 3.3 - CUSTO DA DEMISSÃO COM JUSTA CAUSA</t>
  </si>
  <si>
    <t>Submódulo 3.1</t>
  </si>
  <si>
    <t>Submódulo 3.2</t>
  </si>
  <si>
    <t>Submódulo 3.3</t>
  </si>
  <si>
    <t>MÓDULO 4 - CUSTO DE REPOSIÇÃO DO PROFISSIONAL AUSENTE</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</si>
  <si>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</si>
  <si>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Porobabilidade de ocorrência de ausências legais, conforme previsão do art. 473 da Consolidação das Leis do Trabalho.</t>
  </si>
  <si>
    <t xml:space="preserve">Memória de Cálculo - número de dias de reposição do profissional ausente para cada evento </t>
  </si>
  <si>
    <t>Incidencia anual</t>
  </si>
  <si>
    <t>Duração Legal  
da Ausência</t>
  </si>
  <si>
    <t>12x36</t>
  </si>
  <si>
    <t>44h</t>
  </si>
  <si>
    <t>Proporção dias afetados</t>
  </si>
  <si>
    <t>Dias de reposição</t>
  </si>
  <si>
    <t>Férias</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</si>
  <si>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</si>
  <si>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</si>
  <si>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</si>
  <si>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</si>
  <si>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</si>
  <si>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</si>
  <si>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</si>
  <si>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</si>
  <si>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</si>
  <si>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</si>
  <si>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</si>
  <si>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ESTIMATIVA DA NECESSIDADE DE REPOSIÇÃO DE PROFISSIONAL</t>
  </si>
  <si>
    <t>Composição</t>
  </si>
  <si>
    <t>ESCALAS -  Cargo A</t>
  </si>
  <si>
    <t xml:space="preserve"> 12 x 36 D</t>
  </si>
  <si>
    <t>12 x 36 N</t>
  </si>
  <si>
    <t>44 SEM</t>
  </si>
  <si>
    <t>Total Para reposição</t>
  </si>
  <si>
    <t>SUBMÓDULO 4.1 - AUSÊNCIAS LEGAIS</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</si>
  <si>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</si>
  <si>
    <t>CUSTO DIÁRIO PARA O REPOSITOR</t>
  </si>
  <si>
    <t>Divisor do dia</t>
  </si>
  <si>
    <t>Custo diário</t>
  </si>
  <si>
    <t>Necessidade de Reposição</t>
  </si>
  <si>
    <t>Custo anual</t>
  </si>
  <si>
    <t>Custo mensal</t>
  </si>
  <si>
    <t>SUBMÓDULO 4.2 - INTRAJORNADA</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</si>
  <si>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</si>
  <si>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CUSTO POR HORA DO REPOSITOR</t>
  </si>
  <si>
    <t>divisor de hora</t>
  </si>
  <si>
    <t>Valor da hora</t>
  </si>
  <si>
    <t>Necessidade de Reposição (horas)</t>
  </si>
  <si>
    <t>Submódulo 4.1</t>
  </si>
  <si>
    <t>Submódulo 4.2</t>
  </si>
  <si>
    <t>MÓDULO 5 - INSUMOS DE MÃO DE OBRA</t>
  </si>
  <si>
    <t xml:space="preserve">UNIFORMES - COMPOSIÇÃO - VALOR ANUAL </t>
  </si>
  <si>
    <t>Item</t>
  </si>
  <si>
    <t>qte</t>
  </si>
  <si>
    <t>Vr. Unitario</t>
  </si>
  <si>
    <t>Calça</t>
  </si>
  <si>
    <t>Camisa</t>
  </si>
  <si>
    <t>Sapato</t>
  </si>
  <si>
    <t>especificar demais itens</t>
  </si>
  <si>
    <t xml:space="preserve">Custo anual por Pessoa  </t>
  </si>
  <si>
    <t>UNIFORMES</t>
  </si>
  <si>
    <t xml:space="preserve">Custo mensal </t>
  </si>
  <si>
    <t xml:space="preserve">Equipamentos  </t>
  </si>
  <si>
    <t>Descrição</t>
  </si>
  <si>
    <t>Cotação</t>
  </si>
  <si>
    <t>Duração dos itens 
(vida útil)</t>
  </si>
  <si>
    <t>12x36 h</t>
  </si>
  <si>
    <t>44 horas</t>
  </si>
  <si>
    <t xml:space="preserve">Valor total </t>
  </si>
  <si>
    <t>CUSTO MENSAL DOS EQUIPAMENTOS</t>
  </si>
  <si>
    <t>Valor por empregado</t>
  </si>
  <si>
    <t>Custo com Uniformes</t>
  </si>
  <si>
    <t>Custo com Equipamentos</t>
  </si>
  <si>
    <t>MÓDULO 6 - CUSTOS INDIRETOS, TRIBUTOS E LUCRO</t>
  </si>
  <si>
    <t>INFORMAÇÃO DE PERCENTUAIS ESTIMADOS DE CITL</t>
  </si>
  <si>
    <t>Custos Indiretos</t>
  </si>
  <si>
    <t>Tributos</t>
  </si>
  <si>
    <t>Lucro</t>
  </si>
  <si>
    <t>RATEIO DO Cargo B</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</si>
  <si>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</si>
  <si>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RATEIO DA CHEFIA DE CAMPO</t>
  </si>
  <si>
    <t>Subordinados</t>
  </si>
  <si>
    <t>CUSTO DO TRABALHADOR</t>
  </si>
  <si>
    <t>CUSTO TOTAL POR TRABALHADOR</t>
  </si>
  <si>
    <t>Módulo</t>
  </si>
  <si>
    <t>12x36 Diurno</t>
  </si>
  <si>
    <t>12x36 Noturno</t>
  </si>
  <si>
    <t>44h Semanais</t>
  </si>
  <si>
    <t>Remuneração</t>
  </si>
  <si>
    <t>Encargos e Benefícios</t>
  </si>
  <si>
    <t>Rescisão</t>
  </si>
  <si>
    <t>Reposição do Profissional Ausente</t>
  </si>
  <si>
    <t>Insumos Diversos</t>
  </si>
  <si>
    <t>Custos Indiretos, Tributos e Lucro</t>
  </si>
  <si>
    <t>Rateio da Chefia de Campo</t>
  </si>
  <si>
    <t>Valor por Empregado</t>
  </si>
  <si>
    <t>Valor por Posto</t>
  </si>
  <si>
    <t>PROAD 7980/2019 (expediente)</t>
  </si>
  <si>
    <t>PREGÃO</t>
  </si>
  <si>
    <t>OBJETO: Contratação de empresa especializada na prestação de serviço de vigilância armada</t>
  </si>
  <si>
    <t>UNIDADE REQUISITANTE: Coordenadoria de Segurança Institucional</t>
  </si>
  <si>
    <t>DISCRIMINAÇÃO DOS SERVIÇOS (DADOS REFERENTES À CONTRATAÇÃO)</t>
  </si>
  <si>
    <t>A</t>
  </si>
  <si>
    <t>Data de apresentação da proposta</t>
  </si>
  <si>
    <t>B</t>
  </si>
  <si>
    <t>Município / UF</t>
  </si>
  <si>
    <t>Salvador / BA</t>
  </si>
  <si>
    <t>C</t>
  </si>
  <si>
    <t>Ano do Acordo, Convenção ou Dissídio Coletivo</t>
  </si>
  <si>
    <t>D</t>
  </si>
  <si>
    <t>Número de meses de execução contratual:</t>
  </si>
  <si>
    <t>IDENTIFICAÇÃO DO SERVIÇO</t>
  </si>
  <si>
    <t>Tipo de Serviço</t>
  </si>
  <si>
    <t>Unidade de Medida</t>
  </si>
  <si>
    <t>Quantidade total a contratar</t>
  </si>
  <si>
    <t>Vigilante 44h semanais</t>
  </si>
  <si>
    <t>Posto de serviço</t>
  </si>
  <si>
    <t>Vigilante 12x36 D</t>
  </si>
  <si>
    <t>Vigilante 12x36 N</t>
  </si>
  <si>
    <t>Supervisor 44h semanais</t>
  </si>
  <si>
    <t>Supervisor 12x36 D</t>
  </si>
  <si>
    <t>Supervisor 12x36 N</t>
  </si>
  <si>
    <t>1. MÓDULOS</t>
  </si>
  <si>
    <t>MÃO DE OBRA</t>
  </si>
  <si>
    <t>Mão de obra vinculada à execução contratual</t>
  </si>
  <si>
    <t>Dados para composição dos custos referentes à mão de obra</t>
  </si>
  <si>
    <t>Tipo de serviço</t>
  </si>
  <si>
    <t>Classificação Brasileira de Ocupações (CBO)</t>
  </si>
  <si>
    <t>5173-30</t>
  </si>
  <si>
    <t>Salário Normativo da Categoria Profissional</t>
  </si>
  <si>
    <t>1084*</t>
  </si>
  <si>
    <t>Categoria Profissional (vinculada à execução contratual)</t>
  </si>
  <si>
    <t>vigilante</t>
  </si>
  <si>
    <t>Data-Base da Categoria (dia/mês/ano)</t>
  </si>
  <si>
    <t>01 de fevereiro</t>
  </si>
  <si>
    <t>x</t>
  </si>
  <si>
    <t>Módulo 1 - Composição da Remuneração</t>
  </si>
  <si>
    <t>Composição da Remuneração</t>
  </si>
  <si>
    <t>Valor (R$)</t>
  </si>
  <si>
    <t>Salário-Base</t>
  </si>
  <si>
    <t>Adicional de Periculosidade</t>
  </si>
  <si>
    <t>Adicional de Insalubridade</t>
  </si>
  <si>
    <t>E</t>
  </si>
  <si>
    <t>Adicional de Hora Noturna Reduzida</t>
  </si>
  <si>
    <t>F</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</si>
  <si>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</si>
  <si>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</si>
  <si>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</si>
  <si>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</si>
  <si>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</si>
  <si>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</si>
  <si>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13º (décimo terceiro) Salário</t>
  </si>
  <si>
    <t>Férias e Adicional de Férias</t>
  </si>
  <si>
    <t>Submódulo 2.2 - Encargos Previdenciários (GPS), Fundo de Garantia por Tempo de Serviço (FGTS) e outras contribuições.</t>
  </si>
  <si>
    <t>2.2</t>
  </si>
  <si>
    <t>GPS, FGTS e outras contribuições</t>
  </si>
  <si>
    <t>Percentual (%)</t>
  </si>
  <si>
    <t>INSS</t>
  </si>
  <si>
    <t>Salário Educação</t>
  </si>
  <si>
    <t>SAT</t>
  </si>
  <si>
    <t>SESC ou SESI</t>
  </si>
  <si>
    <t>SENAI - SENAC</t>
  </si>
  <si>
    <t>H</t>
  </si>
  <si>
    <t xml:space="preserve">Total </t>
  </si>
  <si>
    <t>Submódulo 2.3 - Benefícios Mensais e Diários.</t>
  </si>
  <si>
    <t>2.3</t>
  </si>
  <si>
    <t>Benefícios Mensais e Diários</t>
  </si>
  <si>
    <t>Transporte</t>
  </si>
  <si>
    <t>Auxílio-Refeição/Alimentação</t>
  </si>
  <si>
    <t>Assistência Médica</t>
  </si>
  <si>
    <t>Plano de Assist. Odontológica</t>
  </si>
  <si>
    <t>Seguro de vida</t>
  </si>
  <si>
    <t>Prêmio do trabalho noturno</t>
  </si>
  <si>
    <t>Prêmio de boa permanência - nivel I</t>
  </si>
  <si>
    <t>(MUDA NO 2º ANO DE CTRT)</t>
  </si>
  <si>
    <t>Dia do vigilante</t>
  </si>
  <si>
    <t>Quadro-Resumo do Módulo 2 - Encargos e Benefícios anuais, mensais e diários</t>
  </si>
  <si>
    <t>Encargos e Benefícios Anuais, Mensais e Diários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</si>
  <si>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</si>
  <si>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</si>
  <si>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</si>
  <si>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</si>
  <si>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</si>
  <si>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</si>
  <si>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</si>
  <si>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</si>
  <si>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4 - Custo de Reposição do Profissional Ausente</t>
  </si>
  <si>
    <t>dados referenciais levantados no caderno técnico emitido pelo Ministério do Planejamento</t>
  </si>
  <si>
    <t>Submódulo 4.1 - Ausências Legais</t>
  </si>
  <si>
    <t>4.1</t>
  </si>
  <si>
    <t>Ausências Legais</t>
  </si>
  <si>
    <t>I</t>
  </si>
  <si>
    <t>J</t>
  </si>
  <si>
    <t>K</t>
  </si>
  <si>
    <t>L</t>
  </si>
  <si>
    <t>M</t>
  </si>
  <si>
    <t>N</t>
  </si>
  <si>
    <t>Incidência dos Encargos do Submódulo 2.2 sobre as Ausências Legais</t>
  </si>
  <si>
    <t>Submódulo 4.2 - Intrajornada</t>
  </si>
  <si>
    <t>4.2</t>
  </si>
  <si>
    <t>Intrajornada</t>
  </si>
  <si>
    <t>Intervalo para repouso e alimentação</t>
  </si>
  <si>
    <t>Quadro-Resumo do Módulo 4 - Custo de Reposição do Profissional Ausente</t>
  </si>
  <si>
    <t>Custo de Reposição do Profissional Ausente</t>
  </si>
  <si>
    <t>Módulo 5 - Insumos Diversos</t>
  </si>
  <si>
    <t>Insumos de mão de obra</t>
  </si>
  <si>
    <t>Módulo 6 - Custos Indiretos, Tributos e Lucro</t>
  </si>
  <si>
    <t>C.1. Tributos Federais (PIS/COFINS): BASE DE CÁLCULO</t>
  </si>
  <si>
    <t>C.1.-A PIS</t>
  </si>
  <si>
    <t>C.1.-B COFINS</t>
  </si>
  <si>
    <t>C.2. Tributos Estaduais (ICMS - inaplicável)</t>
  </si>
  <si>
    <t>C.3. Tributos Municipais (ISS)</t>
  </si>
  <si>
    <t>2. QUADRO-RESUMO DO CUSTO POR EMPREGADO</t>
  </si>
  <si>
    <t>Mão de obra vinculada à execução contratual (valor por empregado)</t>
  </si>
  <si>
    <t>remuneração</t>
  </si>
  <si>
    <t>encargos e beneficios</t>
  </si>
  <si>
    <t>provisão rescisão</t>
  </si>
  <si>
    <t>reposição</t>
  </si>
  <si>
    <t>insumos</t>
  </si>
  <si>
    <t>Subtotal (A + B +C+ D+E)</t>
  </si>
  <si>
    <t>Módulo 6 – Custos Indiretos, Tributos e Lucro</t>
  </si>
  <si>
    <t>custos ind., tributos e lucros</t>
  </si>
  <si>
    <t xml:space="preserve">Valor Total por Empregado </t>
  </si>
  <si>
    <t>3. QUADRO-RESUMO DO VALOR MENSAL DOS SERVIÇOS</t>
  </si>
  <si>
    <t>Tipo do Serviço (A)</t>
  </si>
  <si>
    <t>Valor Proposto por empregado (B)</t>
  </si>
  <si>
    <t>Quantidade de Empregados por Posto
(C )</t>
  </si>
  <si>
    <t>Valor Proposto por Posto 
(D) = (B x C)</t>
  </si>
  <si>
    <t>Qtde. de Postos
(E)</t>
  </si>
  <si>
    <t>Valor Total MENSAL do Serviço
(F) = (D x E)</t>
  </si>
  <si>
    <t>4. QUADRO DEMONSTRATIVO DO VALOR GLOBAL DA PROPOSTA</t>
  </si>
  <si>
    <t>VALOR GLOBAL DA PROPOSTA</t>
  </si>
  <si>
    <t>Valor mensal do serviço</t>
  </si>
  <si>
    <t>Valor global da proposta (Valor mensal do serviço multiplicado pelo número de meses do contrato).</t>
  </si>
  <si>
    <t>OBSERVAÇÃO</t>
  </si>
  <si>
    <t>Dados referenciais levantados no caderno técnico emitido pelo Ministério do Planejamento</t>
  </si>
  <si>
    <t>Módulo 4 - Custo de Reposição do Profissional Ausente, exceto Linha "A"</t>
  </si>
  <si>
    <t>Módulo 5 - Insumos Diversos - Linha "A" - Insumos de mão de obra</t>
  </si>
  <si>
    <t>Módulo 6 - Custos Indiretos, Tributos e Lucro - Linhas "A" e "B"</t>
  </si>
  <si>
    <t>PROAD 12592/2019</t>
  </si>
  <si>
    <t>PREGÃO ELETRÔNICO n. 071/2019</t>
  </si>
  <si>
    <t>OBJETO: Contratação de empresa especializada para prestação de serviços continuados na área de auditoria médico-hospitalar, bem como de assessoramento técnico ao Programa de Assistência à Saúde deste Regional – TRT5-SAÚDE</t>
  </si>
  <si>
    <t>UNIDADE REQUISITANTE: TRT5 SAÚDE</t>
  </si>
  <si>
    <t>Carga Horária</t>
  </si>
  <si>
    <t>Quantidade de postos a contratar</t>
  </si>
  <si>
    <t>Quantidade empregados por posto</t>
  </si>
  <si>
    <t>AUDITORIA INTERNA E EXTERNA – PERÍCIA MÉDICA – MÉDICO</t>
  </si>
  <si>
    <t>20h</t>
  </si>
  <si>
    <t>Cargo</t>
  </si>
  <si>
    <t>Médico</t>
  </si>
  <si>
    <t>Salário de mercado da Categoria Profissional</t>
  </si>
  <si>
    <t>Salário praticado no mercado - Relatório TRT5 Saúde</t>
  </si>
  <si>
    <t>Sindicato dos médicos no Estado da Bahia</t>
  </si>
  <si>
    <t>01 de maio</t>
  </si>
  <si>
    <t>Adicional Noturno (30%)</t>
  </si>
  <si>
    <t>Assistência Médica e Familiar</t>
  </si>
  <si>
    <t>Auxílio Creche</t>
  </si>
  <si>
    <t>Multa do FGTS sobre o Aviso Prévio Indenizado</t>
  </si>
  <si>
    <t>Multa do FGTS sobre o Aviso Prévio Trabalhado</t>
  </si>
  <si>
    <t>Substituto na cobertura de Férias</t>
  </si>
  <si>
    <t>Substituto na cobertura de Ausências Legais</t>
  </si>
  <si>
    <t>Substituto na cobertura de Licença Paternidade</t>
  </si>
  <si>
    <t>Substituto na cobertura de Ausência por Acidente de Trabalho</t>
  </si>
  <si>
    <t>Substituto na cobertura de Afastamento Maternidade (ver it 4.1.1.)</t>
  </si>
  <si>
    <t>Substituto na cobertura de Ausência por doença</t>
  </si>
  <si>
    <t>Submódulo 4.1.1. - Afastamento Maternidade</t>
  </si>
  <si>
    <t>Substituto na cobertura de Afastamento Maternidade</t>
  </si>
  <si>
    <t>Férias pagas ao substituto pelos 120 dias de reposição</t>
  </si>
  <si>
    <t>Incidência dos encargos do Submodulo 2.2 sobre as férias pagas ao substituto</t>
  </si>
  <si>
    <t>Incidência dos encargos do Submódulo 2.2 sobre a remuneração e o Décimo Terceiro salário, proporcionais aos dias de reposição</t>
  </si>
  <si>
    <t>Substituto na cobertura de Intervalo para repouso e alimentação</t>
  </si>
  <si>
    <t>Substituto nas Ausências Legais</t>
  </si>
  <si>
    <t>4.1.1.</t>
  </si>
  <si>
    <t>Afastamento Maternidade</t>
  </si>
  <si>
    <t>Substituto na Intrajornada</t>
  </si>
  <si>
    <t>Uniformes</t>
  </si>
  <si>
    <t>Material - CRACHÁ</t>
  </si>
  <si>
    <t>Equipamentos</t>
  </si>
  <si>
    <t>Módulo 6 - Custos Indiretos, Tributos e Lucro (Regime tributário: lucro presumido)</t>
  </si>
  <si>
    <t>A1</t>
  </si>
  <si>
    <t>AUDITORIA INTERNA – ENFERMEIRO</t>
  </si>
  <si>
    <t>30h</t>
  </si>
  <si>
    <t>AUDITORIA EXTERNA – ENFERMEIRO</t>
  </si>
  <si>
    <t>Enfermeira – Aud. Interna</t>
  </si>
  <si>
    <t>Enfermeira - Aud. Externa</t>
  </si>
  <si>
    <t>2235-10</t>
  </si>
  <si>
    <t>A2</t>
  </si>
  <si>
    <t>A3</t>
  </si>
  <si>
    <t>AUDITORIA INTERNA – FATURAMENTO – FATURISTA</t>
  </si>
  <si>
    <t>Faturista</t>
  </si>
  <si>
    <t>4131-15</t>
  </si>
  <si>
    <t>A4</t>
  </si>
  <si>
    <t>ESTIMATIVA DE VALOR DA DIÁRIA</t>
  </si>
  <si>
    <t>DIÁRIA</t>
  </si>
  <si>
    <t>Valor unitário bruto</t>
  </si>
  <si>
    <t>TRIBUTOS SOBRE FATURAMENTO</t>
  </si>
  <si>
    <t>BASE DE CÁLCULO</t>
  </si>
  <si>
    <t>PIS</t>
  </si>
  <si>
    <t>COFINS</t>
  </si>
  <si>
    <t>ISS</t>
  </si>
  <si>
    <t>Total de Tributos</t>
  </si>
  <si>
    <t>Valor total de 1 (uma) diária para 1 (um) posto</t>
  </si>
  <si>
    <t>Quantidade estimada de diárias utilizadas para 1 (um) posto para 12 meses</t>
  </si>
  <si>
    <t>Valor total de diárias para 12 meses</t>
  </si>
  <si>
    <t>Valor mensal proposto - categoria:</t>
  </si>
  <si>
    <t>(A1 + A2 + A3 + A4)</t>
  </si>
  <si>
    <t>Valor global da proposta
(Valor mensal do serviço multiplicado pelo número de meses do contrato).</t>
  </si>
  <si>
    <t>Salvador,</t>
  </si>
  <si>
    <t>AUDITORIA INTERNA E EXTERNA – PERÍCIA MÉDICA -
MÉDICO</t>
  </si>
  <si>
    <t>q</t>
  </si>
  <si>
    <t>*</t>
  </si>
  <si>
    <t xml:space="preserve">Auxílio Creche (R$ 60,00) </t>
  </si>
  <si>
    <t>depende do levantamento de dados</t>
  </si>
  <si>
    <t xml:space="preserve">dados referenciais </t>
  </si>
  <si>
    <t>dados referenciais</t>
  </si>
  <si>
    <t>Materiais</t>
  </si>
  <si>
    <t>PROAD</t>
  </si>
  <si>
    <t>OBJETO: Contratação de serviços para execução de atividades de vivilância</t>
  </si>
  <si>
    <t xml:space="preserve">ANEXO </t>
  </si>
  <si>
    <t>Com ajustes após publicação da Lei n° 13.467, de 2017.</t>
  </si>
  <si>
    <t>OBJETO: Contratação de serviços para execução de atividades acessórias e complementares de  almoxarifado com 5 postos</t>
  </si>
  <si>
    <t>UNIDADE REQUISITANTE: Coordenadoria de Material e Logística</t>
  </si>
  <si>
    <t>MEMÓRIA DE CÁLCULO</t>
  </si>
  <si>
    <t>VER SE SERÁ 25,42 OU 22 DIAS em média</t>
  </si>
  <si>
    <t>deficição acima deve estar em linha com esta RUBRICA</t>
  </si>
  <si>
    <t>cl 11a CCT</t>
  </si>
  <si>
    <t>cl 12a CCT</t>
  </si>
  <si>
    <t>cl 13a CCT</t>
  </si>
  <si>
    <t>VER "NOTA 3" relativo a este submodulo na IN 5-2017</t>
  </si>
  <si>
    <t>5% de percentual de dispensa sem justa causa</t>
  </si>
  <si>
    <t>(RENOVÁVEL após o 1º ano, pois cobre custos de substituições)</t>
  </si>
  <si>
    <t xml:space="preserve"> VER ESSE LINK</t>
  </si>
  <si>
    <t>https://groups.google.com/forum/#!topic/nelca/nyN1yQCvkrM</t>
  </si>
  <si>
    <t>Licença-Paternidade</t>
  </si>
  <si>
    <t>Ausência por acidente de trabalho</t>
  </si>
  <si>
    <t>VER NO COMPRAS GOVERNAMENTAIS</t>
  </si>
  <si>
    <t>C.1. Tributos Federais (especificar)</t>
  </si>
  <si>
    <t>C.2. Tributos Estaduais (especificar)</t>
  </si>
  <si>
    <t>C.3. Tributos Municipais (especificar)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</si>
</sst>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_);_(@_)"/>
    <numFmt numFmtId="165" formatCode="_-* #,##0.00_-;\-* #,##0.00_-;_-* \-??_-;_-@_-"/>
    <numFmt numFmtId="166" formatCode="#,##0.00;[Red]#,##0.00"/>
    <numFmt numFmtId="167" formatCode="[$-416]#,##0.00_);[Red]\(#,##0.00\)"/>
    <numFmt numFmtId="168" formatCode="0.0000"/>
    <numFmt numFmtId="169" formatCode="#,##0.0000_ ;\-#,##0.0000\ "/>
    <numFmt numFmtId="170" formatCode="[$-416]#,##0.00_);\(#,##0.00\)"/>
    <numFmt numFmtId="171" formatCode="#,##0_ ;\-#,##0\ "/>
    <numFmt numFmtId="172" formatCode="_-* #,##0.0000_-;\-* #,##0.0000_-;_-* \-??_-;_-@_-"/>
    <numFmt numFmtId="173" formatCode="_-&quot;R$ &quot;* #,##0.00_-;&quot;-R$ &quot;* #,##0.00_-;_-&quot;R$ &quot;* \-??_-;_-@_-"/>
    <numFmt numFmtId="174" formatCode="[$-416]d/m/yyyy"/>
  </numFmts>
  <fonts count="35" x14ac:knownFonts="1">
    <font>
      <sz val="11"/>
      <color rgb="FF000000"/>
      <name val="Calibri"/>
      <family val="2"/>
      <charset val="1"/>
    </font>
    <font>
      <sz val="10"/>
      <name val="Arial"/>
      <family val="2"/>
      <charset val="1"/>
    </font>
    <font>
      <sz val="12"/>
      <color rgb="FF000000"/>
      <name val="Arial"/>
      <family val="2"/>
      <charset val="1"/>
    </font>
    <font>
      <sz val="18"/>
      <color rgb="FFFFFFFF"/>
      <name val="Arial"/>
      <family val="2"/>
      <charset val="1"/>
    </font>
    <font>
      <sz val="12"/>
      <color rgb="FFFF0000"/>
      <name val="Arial"/>
      <family val="2"/>
      <charset val="1"/>
    </font>
    <font>
      <b/>
      <sz val="12"/>
      <color rgb="FF000000"/>
      <name val="Arial"/>
      <family val="2"/>
      <charset val="1"/>
    </font>
    <font>
      <b/>
      <sz val="12"/>
      <color rgb="FFFF0000"/>
      <name val="Arial"/>
      <family val="2"/>
      <charset val="1"/>
    </font>
    <font>
      <sz val="12"/>
      <name val="Arial"/>
      <family val="2"/>
      <charset val="1"/>
    </font>
    <font>
      <b/>
      <sz val="12"/>
      <name val="Arial"/>
      <family val="2"/>
      <charset val="1"/>
    </font>
    <font>
      <b/>
      <sz val="12"/>
      <color rgb="FF00B050"/>
      <name val="Arial"/>
      <family val="2"/>
      <charset val="1"/>
    </font>
    <font>
      <sz val="9"/>
      <color rgb="FF000000"/>
      <name val="Segoe UI"/>
      <family val="2"/>
      <charset val="1"/>
    </font>
    <font>
      <sz val="10"/>
      <color rgb="FF000000"/>
      <name val="Segoe UI"/>
      <family val="2"/>
      <charset val="1"/>
    </font>
    <font>
      <sz val="12"/>
      <color rgb="FF000000"/>
      <name val="Times New Roman"/>
      <family val="1"/>
      <charset val="1"/>
    </font>
    <font>
      <sz val="14"/>
      <color rgb="FF000000"/>
      <name val="Arial"/>
      <family val="2"/>
      <charset val="1"/>
    </font>
    <font>
      <sz val="11"/>
      <color rgb="FF000000"/>
      <name val="Arial"/>
      <family val="2"/>
      <charset val="1"/>
    </font>
    <font>
      <sz val="10"/>
      <color rgb="FF000000"/>
      <name val="Arial"/>
      <family val="2"/>
      <charset val="1"/>
    </font>
    <font>
      <sz val="18"/>
      <name val="Arial"/>
      <family val="2"/>
      <charset val="1"/>
    </font>
    <font>
      <b/>
      <sz val="12"/>
      <color rgb="FF2E75B6"/>
      <name val="Arial"/>
      <family val="2"/>
      <charset val="1"/>
    </font>
    <font>
      <sz val="12"/>
      <color rgb="FFC55A11"/>
      <name val="Arial"/>
      <family val="2"/>
      <charset val="1"/>
    </font>
    <font>
      <sz val="12"/>
      <color rgb="FF767171"/>
      <name val="Arial"/>
      <family val="2"/>
      <charset val="1"/>
    </font>
    <font>
      <sz val="12"/>
      <color rgb="FF767171"/>
      <name val="Times New Roman"/>
      <family val="1"/>
      <charset val="1"/>
    </font>
    <font>
      <b/>
      <sz val="14"/>
      <color rgb="FF000000"/>
      <name val="Arial"/>
      <family val="2"/>
      <charset val="1"/>
    </font>
    <font>
      <b/>
      <sz val="22"/>
      <color rgb="FF000000"/>
      <name val="Arial"/>
      <family val="2"/>
      <charset val="1"/>
    </font>
    <font>
      <sz val="13"/>
      <color rgb="FF000000"/>
      <name val="Arial"/>
      <family val="2"/>
      <charset val="1"/>
    </font>
    <font>
      <b/>
      <sz val="13"/>
      <color rgb="FF000000"/>
      <name val="Arial"/>
      <family val="2"/>
      <charset val="1"/>
    </font>
    <font>
      <sz val="12"/>
      <color rgb="FF00B0F0"/>
      <name val="Arial"/>
      <family val="2"/>
      <charset val="1"/>
    </font>
    <font>
      <b/>
      <sz val="12"/>
      <color rgb="FFFFFFFF"/>
      <name val="Arial"/>
      <family val="2"/>
      <charset val="1"/>
    </font>
    <font>
      <sz val="12"/>
      <color rgb="FFFFFFFF"/>
      <name val="Arial"/>
      <family val="2"/>
      <charset val="1"/>
    </font>
    <font>
      <sz val="8"/>
      <color rgb="FF000000"/>
      <name val="Arial"/>
      <family val="2"/>
      <charset val="1"/>
    </font>
    <font>
      <sz val="18"/>
      <color rgb="FFFFFFFF"/>
      <name val="Times New Roman"/>
      <family val="1"/>
      <charset val="1"/>
    </font>
    <font>
      <sz val="12"/>
      <color rgb="FFFF0000"/>
      <name val="Times New Roman"/>
      <family val="1"/>
      <charset val="1"/>
    </font>
    <font>
      <b/>
      <sz val="12"/>
      <color rgb="FF000000"/>
      <name val="Times New Roman"/>
      <family val="1"/>
      <charset val="1"/>
    </font>
    <font>
      <u/>
      <sz val="11"/>
      <color rgb="FF0563C1"/>
      <name val="Calibri"/>
      <family val="2"/>
      <charset val="1"/>
    </font>
    <font>
      <b/>
      <sz val="9"/>
      <color rgb="FF000000"/>
      <name val="Segoe UI"/>
      <family val="2"/>
      <charset val="1"/>
    </font>
    <font>
      <sz val="11"/>
      <color rgb="FF000000"/>
      <name val="Calibri"/>
      <family val="2"/>
      <charset val="1"/>
    </font>
  </fonts>
  <fills count="18">
    <fill>
      <patternFill patternType="none"/>
    </fill>
    <fill>
      <patternFill patternType="gray125"/>
    </fill>
    <fill>
      <patternFill patternType="solid">
        <fgColor rgb="FF2E75B6"/>
        <bgColor rgb="FF0563C1"/>
      </patternFill>
    </fill>
    <fill>
      <patternFill patternType="solid">
        <fgColor rgb="FF9DC3E6"/>
        <bgColor rgb="FFBFBFBF"/>
      </patternFill>
    </fill>
    <fill>
      <patternFill patternType="solid">
        <fgColor rgb="FFF8CBAD"/>
        <bgColor rgb="FFFBE5D6"/>
      </patternFill>
    </fill>
    <fill>
      <patternFill patternType="solid">
        <fgColor rgb="FFBDD7EE"/>
        <bgColor rgb="FFD9D9D9"/>
      </patternFill>
    </fill>
    <fill>
      <patternFill patternType="solid">
        <fgColor rgb="FFF4B183"/>
        <bgColor rgb="FFF8CBAD"/>
      </patternFill>
    </fill>
    <fill>
      <patternFill patternType="solid">
        <fgColor rgb="FFFFFFFF"/>
        <bgColor rgb="FFEEEEEE"/>
      </patternFill>
    </fill>
    <fill>
      <patternFill patternType="solid">
        <fgColor rgb="FFFBE5D6"/>
        <bgColor rgb="FFEEEEEE"/>
      </patternFill>
    </fill>
    <fill>
      <patternFill patternType="solid">
        <fgColor rgb="FFBFBFBF"/>
        <bgColor rgb="FFAFABAB"/>
      </patternFill>
    </fill>
    <fill>
      <patternFill patternType="solid">
        <fgColor rgb="FFD9D9D9"/>
        <bgColor rgb="FFBDD7EE"/>
      </patternFill>
    </fill>
    <fill>
      <patternFill patternType="solid">
        <fgColor rgb="FFDEEBF7"/>
        <bgColor rgb="FFEEEEEE"/>
      </patternFill>
    </fill>
    <fill>
      <patternFill patternType="solid">
        <fgColor rgb="FFAFABAB"/>
        <bgColor rgb="FFA6A6A6"/>
      </patternFill>
    </fill>
    <fill>
      <patternFill patternType="solid">
        <fgColor rgb="FF767171"/>
        <bgColor rgb="FF666699"/>
      </patternFill>
    </fill>
    <fill>
      <patternFill patternType="solid">
        <fgColor rgb="FFA6A6A6"/>
        <bgColor rgb="FFAFABAB"/>
      </patternFill>
    </fill>
    <fill>
      <patternFill patternType="solid">
        <fgColor rgb="FFEEEEEE"/>
        <bgColor rgb="FFDEEBF7"/>
      </patternFill>
    </fill>
    <fill>
      <patternFill patternType="solid">
        <fgColor rgb="FFFFFF00"/>
        <bgColor rgb="FFFFFF00"/>
      </patternFill>
    </fill>
    <fill>
      <patternFill patternType="solid">
        <fgColor rgb="FFFF0000"/>
        <bgColor rgb="FF993300"/>
      </patternFill>
    </fill>
  </fills>
  <borders count="50">
    <border>
      <left/>
      <right/>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style="medium">
        <color auto="1"/>
      </top>
      <bottom style="medium">
        <color auto="1"/>
      </bottom>
      <diagonal/>
    </border>
    <border>
      <left/>
      <right style="hair">
        <color auto="1"/>
      </right>
      <top/>
      <bottom style="medium">
        <color auto="1"/>
      </bottom>
      <diagonal/>
    </border>
    <border>
      <left style="hair">
        <color auto="1"/>
      </left>
      <right style="hair">
        <color auto="1"/>
      </right>
      <top style="hair">
        <color auto="1"/>
      </top>
      <bottom style="hair">
        <color auto="1"/>
      </bottom>
      <diagonal/>
    </border>
    <border>
      <left style="medium">
        <color auto="1"/>
      </left>
      <right/>
      <top/>
      <bottom style="medium">
        <color auto="1"/>
      </bottom>
      <diagonal/>
    </border>
  </borders>
  <cellStyleXfs count="14">
    <xf numFmtId="0" fontId="0" fillId="0" borderId="0"/>
    <xf numFmtId="165" fontId="34" fillId="0" borderId="0" applyBorder="0" applyProtection="0"/>
    <xf numFmtId="173" fontId="34" fillId="0" borderId="0" applyBorder="0" applyProtection="0"/>
    <xf numFmtId="9" fontId="34" fillId="0" borderId="0" applyBorder="0" applyProtection="0"/>
    <xf numFmtId="0" fontId="32" fillId="0" borderId="0" applyBorder="0" applyProtection="0"/>
    <xf numFmtId="0" fontId="34" fillId="0" borderId="0"/>
    <xf numFmtId="164" fontId="1" fillId="0" borderId="0" applyBorder="0" applyProtection="0"/>
    <xf numFmtId="165" fontId="34" fillId="0" borderId="0" applyBorder="0" applyProtection="0"/>
    <xf numFmtId="165" fontId="34" fillId="0" borderId="0" applyBorder="0" applyProtection="0"/>
    <xf numFmtId="165" fontId="34" fillId="0" borderId="0" applyBorder="0" applyProtection="0"/>
    <xf numFmtId="165" fontId="34" fillId="0" borderId="0" applyBorder="0" applyProtection="0"/>
    <xf numFmtId="165" fontId="34" fillId="0" borderId="0" applyBorder="0" applyProtection="0"/>
    <xf numFmtId="165" fontId="34" fillId="0" borderId="0" applyBorder="0" applyProtection="0"/>
    <xf numFmtId="165" fontId="34" fillId="0" borderId="0" applyBorder="0" applyProtection="0"/>
  </cellStyleXfs>
  <cellXfs count="519">
    <xf numFmtId="0" fontId="0" fillId="0" borderId="0" xfId="0"/>
    <xf numFmtId="0" fontId="8"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6" xfId="0" applyFont="1" applyFill="1" applyBorder="1" applyAlignment="1">
      <alignment horizontal="center" vertical="center" wrapText="1"/>
    </xf>
    <xf numFmtId="0" fontId="4" fillId="7" borderId="0" xfId="0" applyFont="1" applyFill="1" applyBorder="1" applyAlignment="1">
      <alignment horizontal="left" vertical="center" wrapText="1"/>
    </xf>
    <xf numFmtId="0" fontId="5" fillId="3" borderId="29"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2" borderId="0" xfId="0" applyFont="1" applyFill="1" applyBorder="1" applyAlignment="1">
      <alignment horizontal="center" vertical="center"/>
    </xf>
    <xf numFmtId="0" fontId="4" fillId="0" borderId="0" xfId="0" applyFont="1" applyBorder="1" applyAlignment="1">
      <alignment horizontal="left" vertical="center" wrapText="1"/>
    </xf>
    <xf numFmtId="0" fontId="3" fillId="2" borderId="0" xfId="0" applyFont="1" applyFill="1" applyBorder="1" applyAlignment="1">
      <alignment horizontal="center"/>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3" borderId="2" xfId="0" applyFont="1" applyFill="1" applyBorder="1" applyAlignment="1">
      <alignment horizontal="center" vertical="center"/>
    </xf>
    <xf numFmtId="0" fontId="2" fillId="0" borderId="3" xfId="0" applyFont="1" applyBorder="1" applyAlignment="1">
      <alignment horizontal="center" vertical="center"/>
    </xf>
    <xf numFmtId="166" fontId="5" fillId="0" borderId="4" xfId="0" applyNumberFormat="1" applyFont="1" applyBorder="1" applyAlignment="1">
      <alignment horizontal="center" vertical="center"/>
    </xf>
    <xf numFmtId="0" fontId="2" fillId="0" borderId="5" xfId="0" applyFont="1" applyBorder="1" applyAlignment="1">
      <alignment horizontal="center" vertical="center"/>
    </xf>
    <xf numFmtId="166" fontId="5" fillId="0" borderId="6" xfId="0" applyNumberFormat="1" applyFont="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2" fillId="0" borderId="10" xfId="0" applyFont="1" applyBorder="1" applyAlignment="1">
      <alignment horizontal="center" vertical="center"/>
    </xf>
    <xf numFmtId="166" fontId="2" fillId="0" borderId="11" xfId="0" applyNumberFormat="1" applyFont="1" applyBorder="1" applyAlignment="1">
      <alignment horizontal="center" vertical="center"/>
    </xf>
    <xf numFmtId="10" fontId="2" fillId="0" borderId="11" xfId="3" applyNumberFormat="1" applyFont="1" applyBorder="1" applyAlignment="1" applyProtection="1">
      <alignment horizontal="center" vertical="center"/>
    </xf>
    <xf numFmtId="166" fontId="2" fillId="0" borderId="12" xfId="0" applyNumberFormat="1" applyFont="1" applyBorder="1" applyAlignment="1">
      <alignment horizontal="center" vertical="center"/>
    </xf>
    <xf numFmtId="166" fontId="2" fillId="0" borderId="13" xfId="0" applyNumberFormat="1" applyFont="1" applyBorder="1" applyAlignment="1">
      <alignment horizontal="center" vertical="center"/>
    </xf>
    <xf numFmtId="10" fontId="2" fillId="0" borderId="13" xfId="3" applyNumberFormat="1" applyFont="1" applyBorder="1" applyAlignment="1" applyProtection="1">
      <alignment horizontal="center" vertical="center"/>
    </xf>
    <xf numFmtId="166" fontId="2" fillId="0" borderId="6" xfId="0" applyNumberFormat="1" applyFont="1" applyBorder="1" applyAlignment="1">
      <alignment horizontal="center" vertical="center"/>
    </xf>
    <xf numFmtId="9" fontId="2" fillId="0" borderId="11" xfId="3" applyFont="1" applyBorder="1" applyAlignment="1" applyProtection="1">
      <alignment horizontal="center" vertical="center"/>
    </xf>
    <xf numFmtId="166" fontId="5" fillId="0" borderId="12" xfId="0" applyNumberFormat="1" applyFont="1" applyBorder="1" applyAlignment="1">
      <alignment horizontal="center" vertical="center"/>
    </xf>
    <xf numFmtId="0" fontId="2" fillId="0" borderId="0" xfId="0" applyFont="1" applyAlignment="1">
      <alignment horizontal="left" vertical="center"/>
    </xf>
    <xf numFmtId="0" fontId="2" fillId="0" borderId="14" xfId="0" applyFont="1" applyBorder="1" applyAlignment="1">
      <alignment horizontal="center" vertical="center"/>
    </xf>
    <xf numFmtId="166" fontId="2" fillId="0" borderId="15" xfId="0" applyNumberFormat="1" applyFont="1" applyBorder="1" applyAlignment="1">
      <alignment horizontal="center" vertical="center"/>
    </xf>
    <xf numFmtId="9" fontId="2" fillId="0" borderId="15" xfId="3" applyFont="1" applyBorder="1" applyAlignment="1" applyProtection="1">
      <alignment horizontal="center" vertical="center"/>
    </xf>
    <xf numFmtId="166" fontId="5" fillId="0" borderId="16" xfId="0" applyNumberFormat="1" applyFont="1" applyBorder="1" applyAlignment="1">
      <alignment horizontal="center" vertical="center"/>
    </xf>
    <xf numFmtId="0" fontId="2" fillId="0" borderId="17" xfId="0" applyFont="1" applyBorder="1" applyAlignment="1">
      <alignment horizontal="center" vertical="center"/>
    </xf>
    <xf numFmtId="166" fontId="2" fillId="0" borderId="18" xfId="0" applyNumberFormat="1" applyFont="1" applyBorder="1" applyAlignment="1">
      <alignment horizontal="center" vertical="center"/>
    </xf>
    <xf numFmtId="9" fontId="2" fillId="0" borderId="18" xfId="3" applyFont="1" applyBorder="1" applyAlignment="1" applyProtection="1">
      <alignment horizontal="center" vertical="center"/>
    </xf>
    <xf numFmtId="166" fontId="5" fillId="0" borderId="19" xfId="0" applyNumberFormat="1" applyFont="1" applyBorder="1" applyAlignment="1">
      <alignment horizontal="center" vertical="center"/>
    </xf>
    <xf numFmtId="9" fontId="2" fillId="0" borderId="13" xfId="3" applyFont="1" applyBorder="1" applyAlignment="1" applyProtection="1">
      <alignment horizontal="center" vertical="center"/>
    </xf>
    <xf numFmtId="0" fontId="5" fillId="3" borderId="8" xfId="0" applyFont="1" applyFill="1" applyBorder="1" applyAlignment="1">
      <alignment horizontal="center" vertical="center" wrapText="1"/>
    </xf>
    <xf numFmtId="0" fontId="5"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xf>
    <xf numFmtId="4" fontId="2" fillId="0" borderId="11"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4" fontId="2" fillId="0" borderId="18"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5" fillId="3" borderId="2" xfId="0" applyFont="1" applyFill="1" applyBorder="1" applyAlignment="1">
      <alignment horizontal="center" vertical="center" wrapText="1"/>
    </xf>
    <xf numFmtId="0" fontId="4" fillId="0" borderId="0" xfId="0" applyFont="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xf>
    <xf numFmtId="10" fontId="2" fillId="0" borderId="11" xfId="0" applyNumberFormat="1" applyFont="1" applyBorder="1" applyAlignment="1">
      <alignment horizontal="center" vertical="center"/>
    </xf>
    <xf numFmtId="10" fontId="2" fillId="0" borderId="15" xfId="0" applyNumberFormat="1" applyFont="1" applyBorder="1" applyAlignment="1">
      <alignment horizontal="center" vertical="center"/>
    </xf>
    <xf numFmtId="10" fontId="2" fillId="0" borderId="18" xfId="0" applyNumberFormat="1" applyFont="1" applyBorder="1" applyAlignment="1">
      <alignment horizontal="center" vertical="center"/>
    </xf>
    <xf numFmtId="10" fontId="2" fillId="0" borderId="13" xfId="0" applyNumberFormat="1" applyFont="1" applyBorder="1" applyAlignment="1">
      <alignment horizontal="center" vertical="center"/>
    </xf>
    <xf numFmtId="10" fontId="2" fillId="0" borderId="15" xfId="3" applyNumberFormat="1" applyFont="1" applyBorder="1" applyAlignment="1" applyProtection="1">
      <alignment horizontal="center" vertical="center"/>
    </xf>
    <xf numFmtId="10" fontId="2" fillId="0" borderId="18" xfId="3" applyNumberFormat="1" applyFont="1" applyBorder="1" applyAlignment="1" applyProtection="1">
      <alignment horizontal="center" vertical="center"/>
    </xf>
    <xf numFmtId="10" fontId="2" fillId="0" borderId="12" xfId="3" applyNumberFormat="1" applyFont="1" applyBorder="1" applyAlignment="1" applyProtection="1">
      <alignment horizontal="center" vertical="center"/>
    </xf>
    <xf numFmtId="10" fontId="2" fillId="0" borderId="16" xfId="3" applyNumberFormat="1" applyFont="1" applyBorder="1" applyAlignment="1" applyProtection="1">
      <alignment horizontal="center" vertical="center"/>
    </xf>
    <xf numFmtId="10" fontId="2" fillId="4" borderId="16" xfId="3" applyNumberFormat="1" applyFont="1" applyFill="1" applyBorder="1" applyAlignment="1" applyProtection="1">
      <alignment horizontal="center" vertical="center"/>
    </xf>
    <xf numFmtId="10" fontId="2" fillId="0" borderId="6" xfId="3" applyNumberFormat="1" applyFont="1" applyBorder="1" applyAlignment="1" applyProtection="1">
      <alignment horizontal="center" vertical="center"/>
    </xf>
    <xf numFmtId="0" fontId="5" fillId="5" borderId="26" xfId="0" applyFont="1" applyFill="1" applyBorder="1" applyAlignment="1">
      <alignment horizontal="center" vertical="center"/>
    </xf>
    <xf numFmtId="10" fontId="5" fillId="5" borderId="27" xfId="3" applyNumberFormat="1" applyFont="1" applyFill="1" applyBorder="1" applyAlignment="1" applyProtection="1">
      <alignment horizontal="center" vertical="center"/>
    </xf>
    <xf numFmtId="10" fontId="2" fillId="4" borderId="11" xfId="0" applyNumberFormat="1" applyFont="1" applyFill="1" applyBorder="1" applyAlignment="1">
      <alignment horizontal="center" vertical="center"/>
    </xf>
    <xf numFmtId="10" fontId="2" fillId="4" borderId="15" xfId="0" applyNumberFormat="1" applyFont="1" applyFill="1" applyBorder="1" applyAlignment="1">
      <alignment horizontal="center" vertical="center"/>
    </xf>
    <xf numFmtId="10" fontId="2" fillId="4" borderId="18" xfId="0" applyNumberFormat="1" applyFont="1" applyFill="1" applyBorder="1" applyAlignment="1">
      <alignment horizontal="center" vertical="center"/>
    </xf>
    <xf numFmtId="10" fontId="2" fillId="4" borderId="13" xfId="0" applyNumberFormat="1" applyFont="1" applyFill="1" applyBorder="1" applyAlignment="1">
      <alignment horizontal="center" vertical="center"/>
    </xf>
    <xf numFmtId="1" fontId="2" fillId="0" borderId="11" xfId="0" applyNumberFormat="1" applyFont="1" applyBorder="1" applyAlignment="1">
      <alignment horizontal="center" vertical="center"/>
    </xf>
    <xf numFmtId="1" fontId="2" fillId="0" borderId="15" xfId="0" applyNumberFormat="1" applyFont="1" applyBorder="1" applyAlignment="1">
      <alignment horizontal="center" vertical="center"/>
    </xf>
    <xf numFmtId="1" fontId="2" fillId="0" borderId="18" xfId="0" applyNumberFormat="1" applyFont="1" applyBorder="1" applyAlignment="1">
      <alignment horizontal="center" vertical="center"/>
    </xf>
    <xf numFmtId="1" fontId="2" fillId="0" borderId="13" xfId="0" applyNumberFormat="1" applyFont="1" applyBorder="1" applyAlignment="1">
      <alignment horizontal="center" vertical="center"/>
    </xf>
    <xf numFmtId="0" fontId="5" fillId="0" borderId="0" xfId="0" applyFont="1" applyBorder="1" applyAlignment="1">
      <alignment horizontal="center" vertical="center" wrapText="1"/>
    </xf>
    <xf numFmtId="0" fontId="2" fillId="0" borderId="0" xfId="0" applyFont="1" applyAlignment="1">
      <alignment vertical="center"/>
    </xf>
    <xf numFmtId="0" fontId="7" fillId="0" borderId="5" xfId="0" applyFont="1" applyBorder="1" applyAlignment="1">
      <alignment horizontal="center" vertical="center"/>
    </xf>
    <xf numFmtId="166" fontId="2" fillId="0" borderId="28" xfId="0" applyNumberFormat="1" applyFont="1" applyBorder="1" applyAlignment="1">
      <alignment horizontal="center" vertical="center"/>
    </xf>
    <xf numFmtId="0" fontId="2" fillId="0" borderId="3" xfId="0" applyFont="1" applyBorder="1" applyAlignment="1">
      <alignment horizontal="center" vertical="center" wrapText="1"/>
    </xf>
    <xf numFmtId="10" fontId="2" fillId="0" borderId="4" xfId="3" applyNumberFormat="1" applyFont="1" applyBorder="1" applyAlignment="1" applyProtection="1">
      <alignment horizontal="center" vertical="center"/>
    </xf>
    <xf numFmtId="0" fontId="2" fillId="6" borderId="14" xfId="0" applyFont="1" applyFill="1" applyBorder="1" applyAlignment="1">
      <alignment horizontal="center" vertical="center" wrapText="1"/>
    </xf>
    <xf numFmtId="10" fontId="2" fillId="6" borderId="16" xfId="3" applyNumberFormat="1" applyFont="1" applyFill="1" applyBorder="1" applyAlignment="1" applyProtection="1">
      <alignment horizontal="center" vertical="center"/>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10" fontId="2" fillId="0" borderId="19" xfId="3" applyNumberFormat="1" applyFont="1" applyBorder="1" applyAlignment="1" applyProtection="1">
      <alignment horizontal="center" vertical="center"/>
    </xf>
    <xf numFmtId="10" fontId="5" fillId="3" borderId="22" xfId="0" applyNumberFormat="1" applyFont="1" applyFill="1" applyBorder="1" applyAlignment="1">
      <alignment horizontal="center" vertical="center"/>
    </xf>
    <xf numFmtId="0" fontId="5" fillId="0" borderId="0" xfId="0" applyFont="1" applyBorder="1" applyAlignment="1">
      <alignment vertical="center"/>
    </xf>
    <xf numFmtId="0" fontId="5" fillId="3" borderId="30" xfId="0" applyFont="1" applyFill="1" applyBorder="1" applyAlignment="1">
      <alignment horizontal="center" vertical="center" wrapText="1"/>
    </xf>
    <xf numFmtId="167" fontId="2" fillId="0" borderId="11" xfId="0" applyNumberFormat="1" applyFont="1" applyBorder="1" applyAlignment="1">
      <alignment horizontal="center" vertical="center"/>
    </xf>
    <xf numFmtId="167" fontId="5" fillId="0" borderId="12" xfId="0" applyNumberFormat="1" applyFont="1" applyBorder="1" applyAlignment="1">
      <alignment horizontal="center" vertical="center"/>
    </xf>
    <xf numFmtId="167" fontId="2" fillId="0" borderId="15" xfId="0" applyNumberFormat="1" applyFont="1" applyBorder="1" applyAlignment="1">
      <alignment horizontal="center" vertical="center"/>
    </xf>
    <xf numFmtId="167" fontId="5" fillId="0" borderId="16" xfId="0" applyNumberFormat="1" applyFont="1" applyBorder="1" applyAlignment="1">
      <alignment horizontal="center" vertical="center"/>
    </xf>
    <xf numFmtId="167" fontId="2" fillId="0" borderId="18" xfId="0" applyNumberFormat="1" applyFont="1" applyBorder="1" applyAlignment="1">
      <alignment horizontal="center" vertical="center"/>
    </xf>
    <xf numFmtId="167" fontId="5" fillId="0" borderId="19" xfId="0" applyNumberFormat="1" applyFont="1" applyBorder="1" applyAlignment="1">
      <alignment horizontal="center" vertical="center"/>
    </xf>
    <xf numFmtId="167" fontId="2" fillId="0" borderId="13" xfId="0" applyNumberFormat="1" applyFont="1" applyBorder="1" applyAlignment="1">
      <alignment horizontal="center" vertical="center"/>
    </xf>
    <xf numFmtId="167" fontId="5" fillId="0" borderId="6" xfId="0" applyNumberFormat="1" applyFont="1" applyBorder="1" applyAlignment="1">
      <alignment horizontal="center" vertical="center"/>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2" fillId="0" borderId="10" xfId="0" applyFont="1" applyBorder="1" applyAlignment="1">
      <alignment horizontal="center" vertical="center" wrapText="1"/>
    </xf>
    <xf numFmtId="168" fontId="2" fillId="0" borderId="11" xfId="0" applyNumberFormat="1" applyFont="1" applyBorder="1" applyAlignment="1">
      <alignment horizontal="center" vertical="center" wrapText="1"/>
    </xf>
    <xf numFmtId="0" fontId="2" fillId="0" borderId="33" xfId="0" applyFont="1" applyBorder="1" applyAlignment="1">
      <alignment horizontal="center" vertical="center" wrapText="1"/>
    </xf>
    <xf numFmtId="9" fontId="2" fillId="0" borderId="10" xfId="3" applyFont="1" applyBorder="1" applyAlignment="1" applyProtection="1">
      <alignment horizontal="center" vertical="center" wrapText="1"/>
    </xf>
    <xf numFmtId="169" fontId="5" fillId="0" borderId="12" xfId="1" applyNumberFormat="1" applyFont="1" applyBorder="1" applyAlignment="1" applyProtection="1">
      <alignment horizontal="center" vertical="center" wrapText="1"/>
    </xf>
    <xf numFmtId="10" fontId="2" fillId="0" borderId="10" xfId="3" applyNumberFormat="1" applyFont="1" applyBorder="1" applyAlignment="1" applyProtection="1">
      <alignment horizontal="center" vertical="center" wrapText="1"/>
    </xf>
    <xf numFmtId="168" fontId="2" fillId="0" borderId="15" xfId="0" applyNumberFormat="1" applyFont="1" applyBorder="1" applyAlignment="1">
      <alignment horizontal="center" vertical="center" wrapText="1"/>
    </xf>
    <xf numFmtId="0" fontId="2" fillId="0" borderId="34" xfId="0" applyFont="1" applyBorder="1" applyAlignment="1">
      <alignment horizontal="center" vertical="center" wrapText="1"/>
    </xf>
    <xf numFmtId="9" fontId="2" fillId="0" borderId="14" xfId="3" applyFont="1" applyBorder="1" applyAlignment="1" applyProtection="1">
      <alignment horizontal="center" vertical="center" wrapText="1"/>
    </xf>
    <xf numFmtId="169" fontId="5" fillId="0" borderId="16" xfId="1" applyNumberFormat="1" applyFont="1" applyBorder="1" applyAlignment="1" applyProtection="1">
      <alignment horizontal="center" vertical="center" wrapText="1"/>
    </xf>
    <xf numFmtId="10" fontId="2" fillId="0" borderId="14" xfId="3" applyNumberFormat="1" applyFont="1" applyBorder="1" applyAlignment="1" applyProtection="1">
      <alignment horizontal="center" vertical="center" wrapText="1"/>
    </xf>
    <xf numFmtId="0" fontId="2" fillId="0" borderId="5" xfId="0" applyFont="1" applyBorder="1" applyAlignment="1">
      <alignment horizontal="center" vertical="center" wrapText="1"/>
    </xf>
    <xf numFmtId="168" fontId="2" fillId="0" borderId="13" xfId="0" applyNumberFormat="1" applyFont="1" applyBorder="1" applyAlignment="1">
      <alignment horizontal="center" vertical="center" wrapText="1"/>
    </xf>
    <xf numFmtId="0" fontId="2" fillId="0" borderId="35" xfId="0" applyFont="1" applyBorder="1" applyAlignment="1">
      <alignment horizontal="center" vertical="center" wrapText="1"/>
    </xf>
    <xf numFmtId="9" fontId="2" fillId="0" borderId="5" xfId="3" applyFont="1" applyBorder="1" applyAlignment="1" applyProtection="1">
      <alignment horizontal="center" vertical="center" wrapText="1"/>
    </xf>
    <xf numFmtId="169" fontId="5" fillId="0" borderId="6" xfId="1" applyNumberFormat="1" applyFont="1" applyBorder="1" applyAlignment="1" applyProtection="1">
      <alignment horizontal="center" vertical="center" wrapText="1"/>
    </xf>
    <xf numFmtId="10" fontId="2" fillId="0" borderId="5" xfId="3" applyNumberFormat="1" applyFont="1" applyBorder="1" applyAlignment="1" applyProtection="1">
      <alignment horizontal="center" vertical="center" wrapText="1"/>
    </xf>
    <xf numFmtId="0" fontId="5" fillId="3" borderId="20" xfId="0" applyFont="1" applyFill="1" applyBorder="1" applyAlignment="1">
      <alignment horizontal="center" vertical="center" wrapText="1"/>
    </xf>
    <xf numFmtId="0" fontId="5" fillId="3" borderId="22" xfId="0" applyFont="1" applyFill="1" applyBorder="1" applyAlignment="1">
      <alignment horizontal="center" vertical="center" wrapText="1"/>
    </xf>
    <xf numFmtId="168" fontId="2" fillId="0" borderId="12" xfId="0" applyNumberFormat="1" applyFont="1" applyBorder="1" applyAlignment="1">
      <alignment horizontal="center" vertical="center" wrapText="1"/>
    </xf>
    <xf numFmtId="168" fontId="2" fillId="0" borderId="16" xfId="0" applyNumberFormat="1" applyFont="1" applyBorder="1" applyAlignment="1">
      <alignment horizontal="center" vertical="center" wrapText="1"/>
    </xf>
    <xf numFmtId="168" fontId="2" fillId="0" borderId="18" xfId="0" applyNumberFormat="1" applyFont="1" applyBorder="1" applyAlignment="1">
      <alignment horizontal="center" vertical="center" wrapText="1"/>
    </xf>
    <xf numFmtId="168" fontId="2" fillId="0" borderId="19" xfId="0" applyNumberFormat="1" applyFont="1" applyBorder="1" applyAlignment="1">
      <alignment horizontal="center" vertical="center" wrapText="1"/>
    </xf>
    <xf numFmtId="168" fontId="5" fillId="3" borderId="21" xfId="0" applyNumberFormat="1" applyFont="1" applyFill="1" applyBorder="1" applyAlignment="1">
      <alignment horizontal="center" vertical="center" wrapText="1"/>
    </xf>
    <xf numFmtId="168" fontId="5" fillId="3" borderId="22" xfId="0" applyNumberFormat="1" applyFont="1" applyFill="1" applyBorder="1" applyAlignment="1">
      <alignment horizontal="center" vertical="center" wrapText="1"/>
    </xf>
    <xf numFmtId="168" fontId="2" fillId="0" borderId="11" xfId="0" applyNumberFormat="1" applyFont="1" applyBorder="1" applyAlignment="1">
      <alignment horizontal="center" vertical="center"/>
    </xf>
    <xf numFmtId="168" fontId="2" fillId="0" borderId="15" xfId="0" applyNumberFormat="1" applyFont="1" applyBorder="1" applyAlignment="1">
      <alignment horizontal="center" vertical="center"/>
    </xf>
    <xf numFmtId="168" fontId="2" fillId="0" borderId="18" xfId="0" applyNumberFormat="1" applyFont="1" applyBorder="1" applyAlignment="1">
      <alignment horizontal="center" vertical="center"/>
    </xf>
    <xf numFmtId="168" fontId="2" fillId="0" borderId="13" xfId="0" applyNumberFormat="1" applyFont="1" applyBorder="1" applyAlignment="1">
      <alignment horizontal="center" vertical="center"/>
    </xf>
    <xf numFmtId="0" fontId="8" fillId="3" borderId="2" xfId="0" applyFont="1" applyFill="1" applyBorder="1" applyAlignment="1">
      <alignment horizontal="center" vertical="center"/>
    </xf>
    <xf numFmtId="0" fontId="8" fillId="0" borderId="0" xfId="0" applyFont="1" applyBorder="1" applyAlignment="1">
      <alignment vertical="center"/>
    </xf>
    <xf numFmtId="164" fontId="8" fillId="3" borderId="2" xfId="6" applyFont="1" applyFill="1" applyBorder="1" applyAlignment="1" applyProtection="1">
      <alignment horizontal="center" vertical="center"/>
    </xf>
    <xf numFmtId="3" fontId="2" fillId="0" borderId="28" xfId="6" applyNumberFormat="1" applyFont="1" applyBorder="1" applyAlignment="1" applyProtection="1">
      <alignment horizontal="center" vertical="center"/>
    </xf>
    <xf numFmtId="164" fontId="2" fillId="0" borderId="28" xfId="6" applyFont="1" applyBorder="1" applyAlignment="1" applyProtection="1">
      <alignment horizontal="center" vertical="center"/>
    </xf>
    <xf numFmtId="4" fontId="7" fillId="0" borderId="37" xfId="0" applyNumberFormat="1" applyFont="1" applyBorder="1" applyAlignment="1">
      <alignment horizontal="center" vertical="center"/>
    </xf>
    <xf numFmtId="3" fontId="2" fillId="0" borderId="15" xfId="6" applyNumberFormat="1" applyFont="1" applyBorder="1" applyAlignment="1" applyProtection="1">
      <alignment horizontal="center" vertical="center"/>
    </xf>
    <xf numFmtId="164" fontId="2" fillId="0" borderId="15" xfId="6" applyFont="1" applyBorder="1" applyAlignment="1" applyProtection="1">
      <alignment horizontal="center" vertical="center"/>
    </xf>
    <xf numFmtId="4" fontId="7" fillId="0" borderId="38" xfId="0" applyNumberFormat="1" applyFont="1" applyBorder="1" applyAlignment="1">
      <alignment horizontal="center" vertical="center"/>
    </xf>
    <xf numFmtId="3" fontId="2" fillId="0" borderId="13" xfId="6" applyNumberFormat="1" applyFont="1" applyBorder="1" applyAlignment="1" applyProtection="1">
      <alignment horizontal="center" vertical="center"/>
    </xf>
    <xf numFmtId="164" fontId="2" fillId="0" borderId="13" xfId="6" applyFont="1" applyBorder="1" applyAlignment="1" applyProtection="1">
      <alignment horizontal="center" vertical="center"/>
    </xf>
    <xf numFmtId="4" fontId="7" fillId="0" borderId="39" xfId="0" applyNumberFormat="1" applyFont="1" applyBorder="1" applyAlignment="1">
      <alignment horizontal="center" vertical="center"/>
    </xf>
    <xf numFmtId="4" fontId="8" fillId="3" borderId="40" xfId="0" applyNumberFormat="1" applyFont="1" applyFill="1" applyBorder="1" applyAlignment="1">
      <alignment horizontal="center" vertical="center"/>
    </xf>
    <xf numFmtId="0" fontId="2" fillId="0" borderId="0" xfId="0" applyFont="1" applyBorder="1" applyAlignment="1">
      <alignment horizontal="center" vertical="center"/>
    </xf>
    <xf numFmtId="164" fontId="2" fillId="0" borderId="0" xfId="6" applyFont="1" applyBorder="1" applyAlignment="1" applyProtection="1">
      <alignment horizontal="center" vertical="center"/>
    </xf>
    <xf numFmtId="164" fontId="2"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4" fontId="2" fillId="0" borderId="11" xfId="6" applyNumberFormat="1" applyFont="1" applyBorder="1" applyAlignment="1" applyProtection="1">
      <alignment horizontal="center" vertical="center"/>
    </xf>
    <xf numFmtId="4" fontId="8" fillId="0" borderId="12" xfId="6" applyNumberFormat="1" applyFont="1" applyBorder="1" applyAlignment="1" applyProtection="1">
      <alignment horizontal="center" vertical="center"/>
    </xf>
    <xf numFmtId="4" fontId="2" fillId="0" borderId="15" xfId="6" applyNumberFormat="1" applyFont="1" applyBorder="1" applyAlignment="1" applyProtection="1">
      <alignment horizontal="center" vertical="center"/>
    </xf>
    <xf numFmtId="4" fontId="8" fillId="0" borderId="16" xfId="6" applyNumberFormat="1" applyFont="1" applyBorder="1" applyAlignment="1" applyProtection="1">
      <alignment horizontal="center" vertical="center"/>
    </xf>
    <xf numFmtId="4" fontId="2" fillId="0" borderId="13" xfId="6" applyNumberFormat="1" applyFont="1" applyBorder="1" applyAlignment="1" applyProtection="1">
      <alignment horizontal="center" vertical="center"/>
    </xf>
    <xf numFmtId="4" fontId="8" fillId="0" borderId="6" xfId="6" applyNumberFormat="1" applyFont="1" applyBorder="1" applyAlignment="1" applyProtection="1">
      <alignment horizontal="center" vertical="center"/>
    </xf>
    <xf numFmtId="4" fontId="2" fillId="0" borderId="28" xfId="6" applyNumberFormat="1" applyFont="1" applyBorder="1" applyAlignment="1" applyProtection="1">
      <alignment horizontal="center" vertical="center"/>
    </xf>
    <xf numFmtId="4" fontId="8" fillId="0" borderId="4" xfId="6" applyNumberFormat="1" applyFont="1" applyBorder="1" applyAlignment="1" applyProtection="1">
      <alignment horizontal="center" vertical="center"/>
    </xf>
    <xf numFmtId="4" fontId="2" fillId="8" borderId="28" xfId="6" applyNumberFormat="1" applyFont="1" applyFill="1" applyBorder="1" applyAlignment="1" applyProtection="1">
      <alignment horizontal="center" vertical="center"/>
    </xf>
    <xf numFmtId="1" fontId="2" fillId="0" borderId="28" xfId="6" applyNumberFormat="1" applyFont="1" applyBorder="1" applyAlignment="1" applyProtection="1">
      <alignment horizontal="center" vertical="center"/>
    </xf>
    <xf numFmtId="2" fontId="2" fillId="0" borderId="28" xfId="6" applyNumberFormat="1" applyFont="1" applyBorder="1" applyAlignment="1" applyProtection="1">
      <alignment horizontal="center" vertical="center"/>
    </xf>
    <xf numFmtId="4" fontId="2" fillId="0" borderId="4" xfId="0" applyNumberFormat="1" applyFont="1" applyBorder="1" applyAlignment="1">
      <alignment horizontal="center" vertical="center"/>
    </xf>
    <xf numFmtId="4" fontId="2" fillId="8" borderId="15" xfId="6" applyNumberFormat="1" applyFont="1" applyFill="1" applyBorder="1" applyAlignment="1" applyProtection="1">
      <alignment horizontal="center" vertical="center"/>
    </xf>
    <xf numFmtId="1" fontId="2" fillId="0" borderId="15" xfId="6" applyNumberFormat="1" applyFont="1" applyBorder="1" applyAlignment="1" applyProtection="1">
      <alignment horizontal="center" vertical="center"/>
    </xf>
    <xf numFmtId="2" fontId="2" fillId="0" borderId="15" xfId="6" applyNumberFormat="1" applyFont="1" applyBorder="1" applyAlignment="1" applyProtection="1">
      <alignment horizontal="center" vertical="center"/>
    </xf>
    <xf numFmtId="4" fontId="2" fillId="0" borderId="16" xfId="0" applyNumberFormat="1" applyFont="1" applyBorder="1" applyAlignment="1">
      <alignment horizontal="center" vertical="center"/>
    </xf>
    <xf numFmtId="4" fontId="5" fillId="0" borderId="16" xfId="0" applyNumberFormat="1" applyFont="1" applyBorder="1" applyAlignment="1">
      <alignment horizontal="center" vertical="center"/>
    </xf>
    <xf numFmtId="0" fontId="7" fillId="0" borderId="14" xfId="0" applyFont="1" applyBorder="1" applyAlignment="1">
      <alignment horizontal="center" vertical="center"/>
    </xf>
    <xf numFmtId="2" fontId="2" fillId="0" borderId="15" xfId="0" applyNumberFormat="1" applyFont="1" applyBorder="1" applyAlignment="1">
      <alignment horizontal="center" vertical="center"/>
    </xf>
    <xf numFmtId="4" fontId="2" fillId="8" borderId="13" xfId="6" applyNumberFormat="1" applyFont="1" applyFill="1" applyBorder="1" applyAlignment="1" applyProtection="1">
      <alignment horizontal="center" vertical="center"/>
    </xf>
    <xf numFmtId="1" fontId="2" fillId="0" borderId="13" xfId="6" applyNumberFormat="1" applyFont="1" applyBorder="1" applyAlignment="1" applyProtection="1">
      <alignment horizontal="center" vertical="center"/>
    </xf>
    <xf numFmtId="2" fontId="2" fillId="0" borderId="13" xfId="6" applyNumberFormat="1" applyFont="1" applyBorder="1" applyAlignment="1" applyProtection="1">
      <alignment horizontal="center" vertical="center"/>
    </xf>
    <xf numFmtId="4" fontId="2" fillId="0" borderId="6" xfId="0" applyNumberFormat="1" applyFont="1" applyBorder="1" applyAlignment="1">
      <alignment horizontal="center" vertical="center"/>
    </xf>
    <xf numFmtId="4" fontId="8" fillId="3" borderId="41"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164" fontId="8" fillId="3" borderId="22" xfId="0" applyNumberFormat="1" applyFont="1" applyFill="1" applyBorder="1" applyAlignment="1">
      <alignment horizontal="center" vertical="center" wrapText="1"/>
    </xf>
    <xf numFmtId="4" fontId="8" fillId="0" borderId="12" xfId="0" applyNumberFormat="1" applyFont="1" applyBorder="1" applyAlignment="1">
      <alignment horizontal="center" vertical="center"/>
    </xf>
    <xf numFmtId="4" fontId="8" fillId="0" borderId="16" xfId="0" applyNumberFormat="1" applyFont="1" applyBorder="1" applyAlignment="1">
      <alignment horizontal="center" vertical="center"/>
    </xf>
    <xf numFmtId="4" fontId="2" fillId="0" borderId="18" xfId="6" applyNumberFormat="1" applyFont="1" applyBorder="1" applyAlignment="1" applyProtection="1">
      <alignment horizontal="center" vertical="center"/>
    </xf>
    <xf numFmtId="4" fontId="8" fillId="0" borderId="19" xfId="0" applyNumberFormat="1" applyFont="1" applyBorder="1" applyAlignment="1">
      <alignment horizontal="center" vertical="center"/>
    </xf>
    <xf numFmtId="4" fontId="8" fillId="0" borderId="6" xfId="0" applyNumberFormat="1" applyFont="1" applyBorder="1" applyAlignment="1">
      <alignment horizontal="center" vertical="center"/>
    </xf>
    <xf numFmtId="0" fontId="8" fillId="3" borderId="8" xfId="0" applyFont="1" applyFill="1" applyBorder="1" applyAlignment="1">
      <alignment horizontal="center" vertical="center" wrapText="1"/>
    </xf>
    <xf numFmtId="4" fontId="7" fillId="0" borderId="12" xfId="0" applyNumberFormat="1" applyFont="1" applyBorder="1" applyAlignment="1">
      <alignment horizontal="center" vertical="center"/>
    </xf>
    <xf numFmtId="4" fontId="7" fillId="0" borderId="16" xfId="0" applyNumberFormat="1" applyFont="1" applyBorder="1" applyAlignment="1">
      <alignment horizontal="center" vertical="center"/>
    </xf>
    <xf numFmtId="4" fontId="7" fillId="0" borderId="19" xfId="0" applyNumberFormat="1" applyFont="1" applyBorder="1" applyAlignment="1">
      <alignment horizontal="center" vertical="center"/>
    </xf>
    <xf numFmtId="4" fontId="7" fillId="0" borderId="6" xfId="0" applyNumberFormat="1" applyFont="1" applyBorder="1" applyAlignment="1">
      <alignment horizontal="center" vertical="center"/>
    </xf>
    <xf numFmtId="10" fontId="7" fillId="0" borderId="16" xfId="3" applyNumberFormat="1" applyFont="1" applyBorder="1" applyAlignment="1" applyProtection="1">
      <alignment horizontal="center" vertical="center"/>
    </xf>
    <xf numFmtId="10" fontId="7" fillId="0" borderId="6" xfId="3" applyNumberFormat="1" applyFont="1" applyBorder="1" applyAlignment="1" applyProtection="1">
      <alignment horizontal="center" vertical="center"/>
    </xf>
    <xf numFmtId="170" fontId="2" fillId="0" borderId="11" xfId="7" applyNumberFormat="1" applyFont="1" applyBorder="1" applyAlignment="1" applyProtection="1">
      <alignment horizontal="center" vertical="center"/>
    </xf>
    <xf numFmtId="170" fontId="2" fillId="0" borderId="15" xfId="7" applyNumberFormat="1" applyFont="1" applyBorder="1" applyAlignment="1" applyProtection="1">
      <alignment horizontal="center" vertical="center"/>
    </xf>
    <xf numFmtId="170" fontId="2" fillId="0" borderId="18" xfId="7" applyNumberFormat="1" applyFont="1" applyBorder="1" applyAlignment="1" applyProtection="1">
      <alignment horizontal="center" vertical="center"/>
    </xf>
    <xf numFmtId="170" fontId="2" fillId="0" borderId="13" xfId="7" applyNumberFormat="1" applyFont="1" applyBorder="1" applyAlignment="1" applyProtection="1">
      <alignment horizontal="center" vertical="center"/>
    </xf>
    <xf numFmtId="0" fontId="5" fillId="3" borderId="7" xfId="0" applyFont="1" applyFill="1" applyBorder="1" applyAlignment="1">
      <alignment horizontal="center" vertical="center" wrapText="1"/>
    </xf>
    <xf numFmtId="166" fontId="2" fillId="0" borderId="16" xfId="0" applyNumberFormat="1" applyFont="1" applyBorder="1" applyAlignment="1">
      <alignment horizontal="center" vertical="center"/>
    </xf>
    <xf numFmtId="0" fontId="9" fillId="0" borderId="5" xfId="0" applyFont="1" applyBorder="1" applyAlignment="1">
      <alignment horizontal="center" vertical="center" wrapText="1"/>
    </xf>
    <xf numFmtId="166" fontId="9" fillId="0" borderId="13" xfId="0" applyNumberFormat="1" applyFont="1" applyBorder="1" applyAlignment="1">
      <alignment horizontal="center" vertical="center"/>
    </xf>
    <xf numFmtId="166" fontId="9" fillId="0" borderId="6" xfId="0" applyNumberFormat="1" applyFont="1" applyBorder="1" applyAlignment="1">
      <alignment horizontal="center" vertical="center"/>
    </xf>
    <xf numFmtId="166" fontId="5" fillId="3" borderId="21" xfId="0" applyNumberFormat="1" applyFont="1" applyFill="1" applyBorder="1" applyAlignment="1">
      <alignment horizontal="center" vertical="center"/>
    </xf>
    <xf numFmtId="166" fontId="5" fillId="3" borderId="22" xfId="0" applyNumberFormat="1" applyFont="1" applyFill="1" applyBorder="1" applyAlignment="1">
      <alignment horizontal="center" vertical="center"/>
    </xf>
    <xf numFmtId="0" fontId="2" fillId="0" borderId="0" xfId="0" applyFont="1" applyAlignment="1">
      <alignment horizontal="center" vertical="center" wrapText="1"/>
    </xf>
    <xf numFmtId="0" fontId="12" fillId="0" borderId="0" xfId="0" applyFont="1"/>
    <xf numFmtId="0" fontId="2" fillId="0" borderId="0" xfId="0" applyFont="1"/>
    <xf numFmtId="0" fontId="13" fillId="0" borderId="0" xfId="0" applyFont="1"/>
    <xf numFmtId="0" fontId="14" fillId="0" borderId="0" xfId="0" applyFont="1"/>
    <xf numFmtId="0" fontId="15" fillId="0" borderId="0" xfId="0" applyFont="1"/>
    <xf numFmtId="0" fontId="16" fillId="0" borderId="0" xfId="0" applyFont="1" applyBorder="1" applyAlignment="1">
      <alignment horizontal="center"/>
    </xf>
    <xf numFmtId="0" fontId="2" fillId="0" borderId="2" xfId="0" applyFont="1" applyBorder="1" applyAlignment="1">
      <alignment horizontal="center" vertical="center" wrapText="1"/>
    </xf>
    <xf numFmtId="0" fontId="2" fillId="0" borderId="32" xfId="0" applyFont="1" applyBorder="1" applyAlignment="1">
      <alignment horizontal="left" vertical="center" wrapText="1"/>
    </xf>
    <xf numFmtId="0" fontId="5"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vertical="center" wrapText="1"/>
    </xf>
    <xf numFmtId="165" fontId="2" fillId="0" borderId="41" xfId="0" applyNumberFormat="1" applyFont="1" applyBorder="1" applyAlignment="1">
      <alignment horizontal="center" vertical="center" wrapText="1"/>
    </xf>
    <xf numFmtId="0" fontId="2" fillId="0" borderId="41" xfId="0" applyFont="1" applyBorder="1" applyAlignment="1">
      <alignment horizontal="center" vertical="center" wrapText="1"/>
    </xf>
    <xf numFmtId="171" fontId="2" fillId="0" borderId="4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2" fillId="0" borderId="0" xfId="0" applyFont="1" applyAlignment="1">
      <alignment horizontal="left" indent="1"/>
    </xf>
    <xf numFmtId="0" fontId="2" fillId="0" borderId="31" xfId="0" applyFont="1" applyBorder="1" applyAlignment="1">
      <alignment horizontal="left" vertical="center" indent="15"/>
    </xf>
    <xf numFmtId="0" fontId="5" fillId="0" borderId="32" xfId="0" applyFont="1" applyBorder="1" applyAlignment="1">
      <alignment horizontal="left" vertical="center" indent="15"/>
    </xf>
    <xf numFmtId="0" fontId="14" fillId="0" borderId="41" xfId="0" applyFont="1" applyBorder="1" applyAlignment="1">
      <alignment horizontal="center" vertical="center" wrapText="1"/>
    </xf>
    <xf numFmtId="10" fontId="2" fillId="0" borderId="31" xfId="0" applyNumberFormat="1" applyFont="1" applyBorder="1" applyAlignment="1">
      <alignment horizontal="left" vertical="center" indent="15"/>
    </xf>
    <xf numFmtId="10" fontId="5" fillId="0" borderId="32" xfId="0" applyNumberFormat="1" applyFont="1" applyBorder="1" applyAlignment="1">
      <alignment horizontal="left" vertical="center" indent="15"/>
    </xf>
    <xf numFmtId="0" fontId="2" fillId="0" borderId="0" xfId="0" applyFont="1" applyBorder="1" applyAlignment="1">
      <alignment horizontal="center" vertical="center" wrapText="1"/>
    </xf>
    <xf numFmtId="0" fontId="2" fillId="0" borderId="0" xfId="0" applyFont="1" applyBorder="1" applyAlignment="1">
      <alignment vertical="center" wrapText="1"/>
    </xf>
    <xf numFmtId="171" fontId="2" fillId="0" borderId="0" xfId="0" applyNumberFormat="1" applyFont="1" applyBorder="1" applyAlignment="1">
      <alignment horizontal="center" vertical="center" wrapText="1"/>
    </xf>
    <xf numFmtId="0" fontId="5" fillId="9" borderId="0" xfId="0" applyFont="1" applyFill="1" applyBorder="1" applyAlignment="1">
      <alignment horizontal="center" vertical="center"/>
    </xf>
    <xf numFmtId="0" fontId="2" fillId="0" borderId="2" xfId="0" applyFont="1" applyBorder="1" applyAlignment="1">
      <alignment vertical="center" wrapText="1"/>
    </xf>
    <xf numFmtId="10" fontId="5" fillId="0" borderId="2" xfId="0" applyNumberFormat="1" applyFont="1" applyBorder="1" applyAlignment="1">
      <alignment horizontal="center" vertical="center" wrapText="1"/>
    </xf>
    <xf numFmtId="165" fontId="2" fillId="0" borderId="41" xfId="1" applyFont="1" applyBorder="1" applyAlignment="1" applyProtection="1">
      <alignment horizontal="center" vertical="center" wrapText="1"/>
    </xf>
    <xf numFmtId="0" fontId="5" fillId="3" borderId="0" xfId="0" applyFont="1" applyFill="1" applyBorder="1" applyAlignment="1">
      <alignment horizontal="center" vertical="center"/>
    </xf>
    <xf numFmtId="0" fontId="2" fillId="3" borderId="0" xfId="0" applyFont="1" applyFill="1"/>
    <xf numFmtId="165" fontId="5" fillId="10" borderId="41" xfId="0" applyNumberFormat="1" applyFont="1" applyFill="1" applyBorder="1" applyAlignment="1">
      <alignment horizontal="center" vertical="center" wrapText="1"/>
    </xf>
    <xf numFmtId="0" fontId="5" fillId="0" borderId="0" xfId="0" applyFont="1" applyAlignment="1">
      <alignment vertical="center"/>
    </xf>
    <xf numFmtId="0" fontId="5" fillId="11" borderId="0" xfId="0" applyFont="1" applyFill="1" applyBorder="1" applyAlignment="1">
      <alignment horizontal="center" vertical="center"/>
    </xf>
    <xf numFmtId="165" fontId="5" fillId="0" borderId="41" xfId="0" applyNumberFormat="1" applyFont="1" applyBorder="1" applyAlignment="1">
      <alignment horizontal="center" vertical="center" wrapText="1"/>
    </xf>
    <xf numFmtId="0" fontId="5" fillId="11" borderId="0" xfId="0" applyFont="1" applyFill="1" applyBorder="1" applyAlignment="1">
      <alignment horizontal="center" vertical="center" wrapText="1"/>
    </xf>
    <xf numFmtId="10" fontId="2" fillId="0" borderId="41" xfId="0" applyNumberFormat="1" applyFont="1" applyBorder="1" applyAlignment="1">
      <alignment horizontal="center" vertical="center" wrapText="1"/>
    </xf>
    <xf numFmtId="10" fontId="5" fillId="0" borderId="41" xfId="0" applyNumberFormat="1" applyFont="1" applyBorder="1" applyAlignment="1">
      <alignment horizontal="center" vertical="center" wrapText="1"/>
    </xf>
    <xf numFmtId="0" fontId="8" fillId="0" borderId="32" xfId="0" applyFont="1" applyBorder="1" applyAlignment="1">
      <alignment horizontal="center" vertical="center" wrapText="1"/>
    </xf>
    <xf numFmtId="165" fontId="7" fillId="0" borderId="41" xfId="0" applyNumberFormat="1" applyFont="1" applyBorder="1" applyAlignment="1">
      <alignment horizontal="center" vertical="center" wrapText="1"/>
    </xf>
    <xf numFmtId="0" fontId="6" fillId="3" borderId="0" xfId="0" applyFont="1" applyFill="1"/>
    <xf numFmtId="165" fontId="8" fillId="10" borderId="41" xfId="0" applyNumberFormat="1" applyFont="1" applyFill="1" applyBorder="1" applyAlignment="1">
      <alignment horizontal="center" vertical="center" wrapText="1"/>
    </xf>
    <xf numFmtId="0" fontId="4" fillId="0" borderId="0" xfId="0" applyFont="1"/>
    <xf numFmtId="0" fontId="8" fillId="3" borderId="0" xfId="0" applyFont="1" applyFill="1" applyBorder="1" applyAlignment="1">
      <alignment horizontal="center" vertical="center"/>
    </xf>
    <xf numFmtId="0" fontId="7" fillId="0" borderId="0" xfId="0" applyFont="1"/>
    <xf numFmtId="0" fontId="8" fillId="0" borderId="2" xfId="0" applyFont="1" applyBorder="1" applyAlignment="1">
      <alignment horizontal="center" vertical="center" wrapText="1"/>
    </xf>
    <xf numFmtId="0" fontId="7" fillId="0" borderId="40" xfId="0" applyFont="1" applyBorder="1" applyAlignment="1">
      <alignment horizontal="center" vertical="center" wrapText="1"/>
    </xf>
    <xf numFmtId="165" fontId="4" fillId="0" borderId="0" xfId="0" applyNumberFormat="1" applyFont="1"/>
    <xf numFmtId="0" fontId="4" fillId="3" borderId="0" xfId="0" applyFont="1" applyFill="1"/>
    <xf numFmtId="0" fontId="7" fillId="0" borderId="41" xfId="0" applyFont="1" applyBorder="1" applyAlignment="1">
      <alignment horizontal="center" vertical="center" wrapText="1"/>
    </xf>
    <xf numFmtId="165" fontId="2" fillId="3" borderId="0" xfId="0" applyNumberFormat="1" applyFont="1" applyFill="1"/>
    <xf numFmtId="165" fontId="8" fillId="0" borderId="41" xfId="0" applyNumberFormat="1" applyFont="1" applyBorder="1" applyAlignment="1">
      <alignment horizontal="center" vertical="center" wrapText="1"/>
    </xf>
    <xf numFmtId="0" fontId="17" fillId="0" borderId="0" xfId="0" applyFont="1"/>
    <xf numFmtId="0" fontId="8" fillId="11" borderId="0" xfId="0" applyFont="1" applyFill="1" applyBorder="1" applyAlignment="1">
      <alignment horizontal="center" vertical="center"/>
    </xf>
    <xf numFmtId="0" fontId="8" fillId="0" borderId="0" xfId="0" applyFont="1" applyAlignment="1">
      <alignment vertical="center"/>
    </xf>
    <xf numFmtId="0" fontId="7" fillId="0" borderId="0" xfId="0" applyFont="1" applyBorder="1"/>
    <xf numFmtId="0" fontId="7" fillId="0" borderId="42" xfId="0" applyFont="1" applyBorder="1"/>
    <xf numFmtId="0" fontId="7" fillId="0" borderId="31" xfId="0" applyFont="1" applyBorder="1" applyAlignment="1">
      <alignment vertical="center" wrapText="1"/>
    </xf>
    <xf numFmtId="0" fontId="7" fillId="0" borderId="32" xfId="0" applyFont="1" applyBorder="1" applyAlignment="1">
      <alignment vertical="center" wrapText="1"/>
    </xf>
    <xf numFmtId="0" fontId="7" fillId="12" borderId="40" xfId="0" applyFont="1" applyFill="1" applyBorder="1" applyAlignment="1">
      <alignment horizontal="center" vertical="center" wrapText="1"/>
    </xf>
    <xf numFmtId="165" fontId="7" fillId="12" borderId="41" xfId="0" applyNumberFormat="1" applyFont="1" applyFill="1" applyBorder="1" applyAlignment="1">
      <alignment horizontal="center" vertical="center" wrapText="1"/>
    </xf>
    <xf numFmtId="0" fontId="18" fillId="0" borderId="0" xfId="0" applyFont="1"/>
    <xf numFmtId="165" fontId="7" fillId="10" borderId="41" xfId="0" applyNumberFormat="1" applyFont="1" applyFill="1" applyBorder="1" applyAlignment="1">
      <alignment horizontal="center" vertical="center" wrapText="1"/>
    </xf>
    <xf numFmtId="0" fontId="8" fillId="0" borderId="32" xfId="0" applyFont="1" applyBorder="1" applyAlignment="1">
      <alignment vertical="center" wrapText="1"/>
    </xf>
    <xf numFmtId="0" fontId="7" fillId="0" borderId="41" xfId="0" applyFont="1" applyBorder="1" applyAlignment="1">
      <alignment vertical="center" wrapText="1"/>
    </xf>
    <xf numFmtId="10" fontId="7" fillId="0" borderId="41" xfId="3" applyNumberFormat="1" applyFont="1" applyBorder="1" applyAlignment="1" applyProtection="1">
      <alignment horizontal="center" vertical="center" wrapText="1"/>
    </xf>
    <xf numFmtId="0" fontId="17" fillId="3" borderId="0" xfId="0" applyFont="1" applyFill="1"/>
    <xf numFmtId="172" fontId="7" fillId="13" borderId="41" xfId="1" applyNumberFormat="1" applyFont="1" applyFill="1" applyBorder="1" applyAlignment="1" applyProtection="1">
      <alignment horizontal="center" vertical="center" wrapText="1"/>
    </xf>
    <xf numFmtId="165" fontId="7" fillId="13" borderId="41" xfId="0" applyNumberFormat="1" applyFont="1" applyFill="1" applyBorder="1" applyAlignment="1">
      <alignment horizontal="center" vertical="center" wrapText="1"/>
    </xf>
    <xf numFmtId="10" fontId="8" fillId="0" borderId="41" xfId="3" applyNumberFormat="1" applyFont="1" applyBorder="1" applyAlignment="1" applyProtection="1">
      <alignment horizontal="center" vertical="center" wrapText="1"/>
    </xf>
    <xf numFmtId="0" fontId="5" fillId="0" borderId="40" xfId="0" applyFont="1" applyBorder="1" applyAlignment="1">
      <alignment horizontal="center" vertical="center" wrapText="1"/>
    </xf>
    <xf numFmtId="10" fontId="2" fillId="0" borderId="0" xfId="3" applyNumberFormat="1" applyFont="1" applyBorder="1" applyAlignment="1" applyProtection="1"/>
    <xf numFmtId="165" fontId="5" fillId="0" borderId="41" xfId="0" applyNumberFormat="1" applyFont="1" applyBorder="1" applyAlignment="1">
      <alignment vertical="center" wrapText="1"/>
    </xf>
    <xf numFmtId="10" fontId="2" fillId="12" borderId="0" xfId="3" applyNumberFormat="1" applyFont="1" applyFill="1" applyBorder="1" applyAlignment="1" applyProtection="1"/>
    <xf numFmtId="171" fontId="2" fillId="0" borderId="40" xfId="1" applyNumberFormat="1" applyFont="1" applyBorder="1" applyAlignment="1" applyProtection="1">
      <alignment horizontal="center" vertical="center" wrapText="1"/>
    </xf>
    <xf numFmtId="10" fontId="2" fillId="0" borderId="40" xfId="0" applyNumberFormat="1" applyFont="1" applyBorder="1" applyAlignment="1">
      <alignment horizontal="left" vertical="center" wrapText="1" indent="1"/>
    </xf>
    <xf numFmtId="173" fontId="2" fillId="0" borderId="41" xfId="2" applyFont="1" applyBorder="1" applyAlignment="1" applyProtection="1">
      <alignment vertical="center" wrapText="1"/>
    </xf>
    <xf numFmtId="173" fontId="2" fillId="0" borderId="41" xfId="0" applyNumberFormat="1" applyFont="1" applyBorder="1" applyAlignment="1">
      <alignment vertical="center" wrapText="1"/>
    </xf>
    <xf numFmtId="173" fontId="2" fillId="0" borderId="41" xfId="2" applyFont="1" applyBorder="1" applyAlignment="1" applyProtection="1">
      <alignment horizontal="center" vertical="center" wrapText="1"/>
    </xf>
    <xf numFmtId="173" fontId="12" fillId="0" borderId="0" xfId="0" applyNumberFormat="1" applyFont="1"/>
    <xf numFmtId="171" fontId="19" fillId="0" borderId="40" xfId="1" applyNumberFormat="1" applyFont="1" applyBorder="1" applyAlignment="1" applyProtection="1">
      <alignment horizontal="center" vertical="center" wrapText="1"/>
    </xf>
    <xf numFmtId="10" fontId="19" fillId="0" borderId="40" xfId="0" applyNumberFormat="1" applyFont="1" applyBorder="1" applyAlignment="1">
      <alignment horizontal="left" vertical="center" wrapText="1" indent="1"/>
    </xf>
    <xf numFmtId="173" fontId="19" fillId="0" borderId="41" xfId="2" applyFont="1" applyBorder="1" applyAlignment="1" applyProtection="1">
      <alignment vertical="center" wrapText="1"/>
    </xf>
    <xf numFmtId="0" fontId="19" fillId="0" borderId="41" xfId="0" applyFont="1" applyBorder="1" applyAlignment="1">
      <alignment horizontal="center" vertical="center" wrapText="1"/>
    </xf>
    <xf numFmtId="173" fontId="19" fillId="0" borderId="41" xfId="0" applyNumberFormat="1" applyFont="1" applyBorder="1" applyAlignment="1">
      <alignment vertical="center" wrapText="1"/>
    </xf>
    <xf numFmtId="173" fontId="19" fillId="0" borderId="41" xfId="2" applyFont="1" applyBorder="1" applyAlignment="1" applyProtection="1">
      <alignment horizontal="center" vertical="center" wrapText="1"/>
    </xf>
    <xf numFmtId="0" fontId="20" fillId="0" borderId="0" xfId="0" applyFont="1"/>
    <xf numFmtId="0" fontId="5" fillId="0" borderId="31" xfId="0" applyFont="1" applyBorder="1" applyAlignment="1">
      <alignment vertical="center" wrapText="1"/>
    </xf>
    <xf numFmtId="0" fontId="5" fillId="0" borderId="36" xfId="0" applyFont="1" applyBorder="1" applyAlignment="1">
      <alignment vertical="center" wrapText="1"/>
    </xf>
    <xf numFmtId="0" fontId="5" fillId="0" borderId="32" xfId="0" applyFont="1" applyBorder="1" applyAlignment="1">
      <alignment vertical="center" wrapText="1"/>
    </xf>
    <xf numFmtId="173" fontId="5" fillId="0" borderId="41" xfId="2" applyFont="1" applyBorder="1" applyAlignment="1" applyProtection="1">
      <alignment vertical="center" wrapText="1"/>
    </xf>
    <xf numFmtId="173" fontId="2" fillId="0" borderId="0" xfId="0" applyNumberFormat="1" applyFont="1"/>
    <xf numFmtId="0" fontId="2" fillId="0" borderId="31" xfId="0" applyFont="1" applyBorder="1" applyAlignment="1">
      <alignment vertical="center" wrapText="1"/>
    </xf>
    <xf numFmtId="0" fontId="2" fillId="0" borderId="32" xfId="0" applyFont="1" applyBorder="1" applyAlignment="1">
      <alignment vertical="center" wrapText="1"/>
    </xf>
    <xf numFmtId="165" fontId="2" fillId="0" borderId="0" xfId="1" applyFont="1" applyBorder="1" applyAlignment="1" applyProtection="1"/>
    <xf numFmtId="165" fontId="2" fillId="0" borderId="0" xfId="0" applyNumberFormat="1" applyFont="1"/>
    <xf numFmtId="0" fontId="8" fillId="0" borderId="0" xfId="0" applyFont="1"/>
    <xf numFmtId="174" fontId="2" fillId="0" borderId="0" xfId="0" applyNumberFormat="1" applyFont="1"/>
    <xf numFmtId="0" fontId="16" fillId="0" borderId="0" xfId="0" applyFont="1" applyBorder="1" applyAlignment="1">
      <alignment horizontal="left" indent="15"/>
    </xf>
    <xf numFmtId="0" fontId="16" fillId="0" borderId="0" xfId="0" applyFont="1" applyAlignment="1">
      <alignment horizontal="center"/>
    </xf>
    <xf numFmtId="0" fontId="2" fillId="0" borderId="0" xfId="0" applyFont="1" applyAlignment="1">
      <alignment horizontal="left" indent="15"/>
    </xf>
    <xf numFmtId="0" fontId="5" fillId="0" borderId="42" xfId="0" applyFont="1" applyBorder="1" applyAlignment="1">
      <alignment horizontal="left" vertical="center"/>
    </xf>
    <xf numFmtId="0" fontId="5" fillId="0" borderId="42" xfId="0" applyFont="1" applyBorder="1" applyAlignment="1">
      <alignment horizontal="center" vertical="center"/>
    </xf>
    <xf numFmtId="0" fontId="2" fillId="0" borderId="31" xfId="0" applyFont="1" applyBorder="1" applyAlignment="1">
      <alignment horizontal="left" vertical="center" indent="1"/>
    </xf>
    <xf numFmtId="0" fontId="2" fillId="0" borderId="36" xfId="0" applyFont="1" applyBorder="1" applyAlignment="1">
      <alignment horizontal="left" vertical="center" wrapText="1"/>
    </xf>
    <xf numFmtId="0" fontId="2" fillId="0" borderId="36" xfId="0" applyFont="1" applyBorder="1" applyAlignment="1">
      <alignment vertical="center" wrapText="1"/>
    </xf>
    <xf numFmtId="0" fontId="5" fillId="0" borderId="0" xfId="0" applyFont="1" applyBorder="1" applyAlignment="1">
      <alignment horizontal="left" vertical="center"/>
    </xf>
    <xf numFmtId="0" fontId="5" fillId="0" borderId="31" xfId="0" applyFont="1" applyBorder="1" applyAlignment="1">
      <alignment horizontal="left" vertical="center" indent="1"/>
    </xf>
    <xf numFmtId="0" fontId="5" fillId="0" borderId="36" xfId="0" applyFont="1" applyBorder="1" applyAlignment="1">
      <alignment horizontal="left" vertical="center" indent="1"/>
    </xf>
    <xf numFmtId="0" fontId="5" fillId="0" borderId="32" xfId="0" applyFont="1" applyBorder="1" applyAlignment="1">
      <alignment horizontal="left" vertical="center" indent="1"/>
    </xf>
    <xf numFmtId="0" fontId="2" fillId="0" borderId="36" xfId="0" applyFont="1" applyBorder="1" applyAlignment="1">
      <alignment horizontal="left" vertical="center" indent="1"/>
    </xf>
    <xf numFmtId="0" fontId="2" fillId="0" borderId="32" xfId="0" applyFont="1" applyBorder="1" applyAlignment="1">
      <alignment horizontal="left" vertical="center" indent="1"/>
    </xf>
    <xf numFmtId="0" fontId="5" fillId="9" borderId="0" xfId="0" applyFont="1" applyFill="1" applyBorder="1" applyAlignment="1">
      <alignment horizontal="left" vertical="center" indent="15"/>
    </xf>
    <xf numFmtId="0" fontId="5" fillId="0" borderId="43" xfId="0" applyFont="1" applyBorder="1" applyAlignment="1">
      <alignment horizontal="left" vertical="center" indent="15"/>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 fillId="0" borderId="46" xfId="0" applyFont="1" applyBorder="1" applyAlignment="1">
      <alignment vertical="center" wrapText="1"/>
    </xf>
    <xf numFmtId="0" fontId="2" fillId="0" borderId="43" xfId="0" applyFont="1" applyBorder="1" applyAlignment="1">
      <alignment vertical="center" wrapText="1"/>
    </xf>
    <xf numFmtId="10" fontId="5" fillId="0" borderId="44" xfId="0" applyNumberFormat="1" applyFont="1" applyBorder="1" applyAlignment="1">
      <alignment horizontal="center" vertical="center" wrapText="1"/>
    </xf>
    <xf numFmtId="0" fontId="0" fillId="0" borderId="45" xfId="0" applyBorder="1"/>
    <xf numFmtId="10" fontId="5" fillId="0" borderId="0" xfId="0" applyNumberFormat="1" applyFont="1" applyBorder="1" applyAlignment="1">
      <alignment horizontal="center" vertical="center" wrapText="1"/>
    </xf>
    <xf numFmtId="0" fontId="2" fillId="0" borderId="44" xfId="0" applyFont="1" applyBorder="1" applyAlignment="1">
      <alignment horizontal="center" vertical="center" wrapText="1"/>
    </xf>
    <xf numFmtId="165" fontId="2" fillId="0" borderId="0" xfId="0" applyNumberFormat="1" applyFont="1" applyBorder="1" applyAlignment="1">
      <alignment horizontal="center" vertical="center" wrapText="1"/>
    </xf>
    <xf numFmtId="165" fontId="2" fillId="0" borderId="44" xfId="1" applyFont="1" applyBorder="1" applyAlignment="1" applyProtection="1">
      <alignment horizontal="center" vertical="center" wrapText="1"/>
    </xf>
    <xf numFmtId="0" fontId="2" fillId="0" borderId="31" xfId="0" applyFont="1" applyBorder="1" applyAlignment="1">
      <alignment horizontal="left" vertical="center" wrapText="1" indent="1"/>
    </xf>
    <xf numFmtId="165" fontId="2" fillId="0" borderId="47" xfId="1" applyFont="1" applyBorder="1" applyAlignment="1" applyProtection="1">
      <alignment horizontal="center" vertical="center" wrapText="1"/>
    </xf>
    <xf numFmtId="165" fontId="2" fillId="0" borderId="43" xfId="1" applyFont="1" applyBorder="1" applyAlignment="1" applyProtection="1">
      <alignment horizontal="center" vertical="center" wrapText="1"/>
    </xf>
    <xf numFmtId="165" fontId="2" fillId="0" borderId="0" xfId="1" applyFont="1" applyBorder="1" applyAlignment="1" applyProtection="1">
      <alignment horizontal="center" vertical="center" wrapText="1"/>
    </xf>
    <xf numFmtId="165" fontId="2" fillId="0" borderId="44" xfId="0" applyNumberFormat="1" applyFont="1" applyBorder="1" applyAlignment="1">
      <alignment horizontal="center" vertical="center"/>
    </xf>
    <xf numFmtId="0" fontId="5" fillId="3" borderId="0" xfId="0" applyFont="1" applyFill="1" applyBorder="1" applyAlignment="1">
      <alignment horizontal="left" vertical="center" indent="15"/>
    </xf>
    <xf numFmtId="0" fontId="5" fillId="0" borderId="31" xfId="0" applyFont="1" applyBorder="1" applyAlignment="1">
      <alignment horizontal="left" vertical="center" indent="12"/>
    </xf>
    <xf numFmtId="0" fontId="5" fillId="0" borderId="36" xfId="0" applyFont="1" applyBorder="1" applyAlignment="1">
      <alignment horizontal="center" vertical="center" wrapText="1"/>
    </xf>
    <xf numFmtId="0" fontId="2" fillId="0" borderId="31" xfId="0" applyFont="1" applyBorder="1" applyAlignment="1">
      <alignment horizontal="left" vertical="center"/>
    </xf>
    <xf numFmtId="0" fontId="5" fillId="10" borderId="43" xfId="0" applyFont="1" applyFill="1" applyBorder="1" applyAlignment="1">
      <alignment horizontal="left" vertical="center" indent="15"/>
    </xf>
    <xf numFmtId="0" fontId="5" fillId="10" borderId="44" xfId="0" applyFont="1" applyFill="1" applyBorder="1" applyAlignment="1">
      <alignment horizontal="center" vertical="center" wrapText="1"/>
    </xf>
    <xf numFmtId="165" fontId="5" fillId="10" borderId="44" xfId="0" applyNumberFormat="1" applyFont="1" applyFill="1" applyBorder="1" applyAlignment="1">
      <alignment horizontal="center" vertical="center" wrapText="1"/>
    </xf>
    <xf numFmtId="165" fontId="5" fillId="10" borderId="45" xfId="0" applyNumberFormat="1" applyFont="1" applyFill="1" applyBorder="1" applyAlignment="1">
      <alignment horizontal="center" vertical="center" wrapText="1"/>
    </xf>
    <xf numFmtId="165" fontId="5" fillId="0" borderId="0" xfId="0" applyNumberFormat="1" applyFont="1" applyBorder="1" applyAlignment="1">
      <alignment horizontal="center" vertical="center" wrapText="1"/>
    </xf>
    <xf numFmtId="10" fontId="2" fillId="0" borderId="0" xfId="0" applyNumberFormat="1" applyFont="1"/>
    <xf numFmtId="0" fontId="5" fillId="0" borderId="0" xfId="0" applyFont="1" applyAlignment="1">
      <alignment horizontal="left" vertical="center" indent="15"/>
    </xf>
    <xf numFmtId="0" fontId="5" fillId="11" borderId="0" xfId="0" applyFont="1" applyFill="1" applyBorder="1" applyAlignment="1">
      <alignment horizontal="left" vertical="center" indent="15"/>
    </xf>
    <xf numFmtId="0" fontId="5" fillId="0" borderId="44" xfId="0" applyFont="1" applyBorder="1" applyAlignment="1">
      <alignment horizontal="center" vertical="center" wrapText="1"/>
    </xf>
    <xf numFmtId="165" fontId="5" fillId="0" borderId="44" xfId="0" applyNumberFormat="1" applyFont="1" applyBorder="1" applyAlignment="1">
      <alignment horizontal="center" vertical="center" wrapText="1"/>
    </xf>
    <xf numFmtId="165" fontId="5" fillId="0" borderId="45"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5" fillId="0" borderId="48" xfId="0" applyFont="1" applyBorder="1" applyAlignment="1">
      <alignment horizontal="center" vertical="center"/>
    </xf>
    <xf numFmtId="0" fontId="2" fillId="0" borderId="49" xfId="0" applyFont="1" applyBorder="1" applyAlignment="1">
      <alignment vertical="center" wrapText="1"/>
    </xf>
    <xf numFmtId="10" fontId="2" fillId="0" borderId="42" xfId="0" applyNumberFormat="1" applyFont="1" applyBorder="1" applyAlignment="1">
      <alignment horizontal="center" vertical="center" wrapText="1"/>
    </xf>
    <xf numFmtId="10" fontId="2" fillId="0" borderId="48" xfId="0" applyNumberFormat="1" applyFont="1" applyBorder="1" applyAlignment="1">
      <alignment horizontal="center" vertical="center" wrapText="1"/>
    </xf>
    <xf numFmtId="0" fontId="7" fillId="0" borderId="49" xfId="0" applyFont="1" applyBorder="1" applyAlignment="1">
      <alignment vertical="center" wrapText="1"/>
    </xf>
    <xf numFmtId="0" fontId="5" fillId="0" borderId="31" xfId="0" applyFont="1" applyBorder="1" applyAlignment="1">
      <alignment horizontal="left" vertical="center" indent="15"/>
    </xf>
    <xf numFmtId="10" fontId="5" fillId="0" borderId="36" xfId="0" applyNumberFormat="1" applyFont="1" applyBorder="1" applyAlignment="1">
      <alignment horizontal="center" vertical="center" wrapText="1"/>
    </xf>
    <xf numFmtId="10" fontId="5" fillId="0" borderId="32" xfId="0" applyNumberFormat="1" applyFont="1" applyBorder="1" applyAlignment="1">
      <alignment horizontal="center" vertical="center" wrapText="1"/>
    </xf>
    <xf numFmtId="10" fontId="5" fillId="0" borderId="48" xfId="0" applyNumberFormat="1" applyFont="1" applyBorder="1" applyAlignment="1">
      <alignment horizontal="center" vertical="center" wrapText="1"/>
    </xf>
    <xf numFmtId="0" fontId="8" fillId="0" borderId="0" xfId="0" applyFont="1" applyBorder="1" applyAlignment="1">
      <alignment horizontal="center" vertical="center" wrapText="1"/>
    </xf>
    <xf numFmtId="165" fontId="7" fillId="0" borderId="0" xfId="0" applyNumberFormat="1" applyFont="1" applyBorder="1" applyAlignment="1">
      <alignment horizontal="center" vertical="center" wrapText="1"/>
    </xf>
    <xf numFmtId="165" fontId="8" fillId="0" borderId="0" xfId="0" applyNumberFormat="1" applyFont="1" applyBorder="1" applyAlignment="1">
      <alignment horizontal="center" vertical="center" wrapText="1"/>
    </xf>
    <xf numFmtId="0" fontId="8" fillId="3" borderId="0" xfId="0" applyFont="1" applyFill="1" applyBorder="1" applyAlignment="1">
      <alignment horizontal="left" vertical="center" indent="15"/>
    </xf>
    <xf numFmtId="0" fontId="8" fillId="0" borderId="0" xfId="0" applyFont="1" applyAlignment="1">
      <alignment horizontal="center" vertical="center"/>
    </xf>
    <xf numFmtId="0" fontId="7" fillId="0" borderId="0" xfId="0" applyFont="1" applyBorder="1" applyAlignment="1">
      <alignment horizontal="center" vertical="center" wrapText="1"/>
    </xf>
    <xf numFmtId="0" fontId="8" fillId="0" borderId="40" xfId="0" applyFont="1" applyBorder="1" applyAlignment="1">
      <alignment horizontal="center" vertical="center" wrapText="1"/>
    </xf>
    <xf numFmtId="0" fontId="5" fillId="0" borderId="31" xfId="0" applyFont="1" applyBorder="1" applyAlignment="1">
      <alignment horizontal="left" vertical="center"/>
    </xf>
    <xf numFmtId="0" fontId="7" fillId="0" borderId="0" xfId="0" applyFont="1" applyAlignment="1">
      <alignment horizontal="left" indent="15"/>
    </xf>
    <xf numFmtId="0" fontId="8" fillId="11" borderId="0" xfId="0" applyFont="1" applyFill="1" applyBorder="1" applyAlignment="1">
      <alignment horizontal="left" vertical="center" indent="15"/>
    </xf>
    <xf numFmtId="0" fontId="8" fillId="10" borderId="31" xfId="0" applyFont="1" applyFill="1" applyBorder="1" applyAlignment="1">
      <alignment horizontal="left" vertical="center" indent="15"/>
    </xf>
    <xf numFmtId="0" fontId="8" fillId="10" borderId="36" xfId="0" applyFont="1" applyFill="1" applyBorder="1" applyAlignment="1">
      <alignment horizontal="center" vertical="center" wrapText="1"/>
    </xf>
    <xf numFmtId="0" fontId="8" fillId="10" borderId="32" xfId="0" applyFont="1" applyFill="1" applyBorder="1" applyAlignment="1">
      <alignment horizontal="center" vertical="center" wrapText="1"/>
    </xf>
    <xf numFmtId="0" fontId="8" fillId="0" borderId="31" xfId="0" applyFont="1" applyBorder="1" applyAlignment="1">
      <alignment horizontal="left" vertical="center" indent="15"/>
    </xf>
    <xf numFmtId="0" fontId="8" fillId="0" borderId="36" xfId="0" applyFont="1" applyBorder="1" applyAlignment="1">
      <alignment vertical="center" wrapText="1"/>
    </xf>
    <xf numFmtId="0" fontId="8" fillId="0" borderId="36" xfId="0" applyFont="1" applyBorder="1" applyAlignment="1">
      <alignment horizontal="center" vertical="center"/>
    </xf>
    <xf numFmtId="0" fontId="7" fillId="0" borderId="31" xfId="0" applyFont="1" applyBorder="1" applyAlignment="1">
      <alignment horizontal="left" vertical="center"/>
    </xf>
    <xf numFmtId="0" fontId="7" fillId="0" borderId="36" xfId="0" applyFont="1" applyBorder="1" applyAlignment="1">
      <alignment vertical="center" wrapText="1"/>
    </xf>
    <xf numFmtId="10" fontId="7" fillId="0" borderId="42" xfId="3" applyNumberFormat="1" applyFont="1" applyBorder="1" applyAlignment="1" applyProtection="1">
      <alignment horizontal="center" vertical="center"/>
    </xf>
    <xf numFmtId="172" fontId="7" fillId="13" borderId="42" xfId="1" applyNumberFormat="1" applyFont="1" applyFill="1" applyBorder="1" applyAlignment="1" applyProtection="1">
      <alignment horizontal="center" vertical="center"/>
    </xf>
    <xf numFmtId="10" fontId="8" fillId="10" borderId="42" xfId="3" applyNumberFormat="1" applyFont="1" applyFill="1" applyBorder="1" applyAlignment="1" applyProtection="1">
      <alignment horizontal="center" vertical="center"/>
    </xf>
    <xf numFmtId="10" fontId="8" fillId="10" borderId="41" xfId="3" applyNumberFormat="1" applyFont="1" applyFill="1" applyBorder="1" applyAlignment="1" applyProtection="1">
      <alignment horizontal="center" vertical="center" wrapText="1"/>
    </xf>
    <xf numFmtId="165" fontId="5" fillId="0" borderId="0" xfId="0" applyNumberFormat="1" applyFont="1" applyBorder="1" applyAlignment="1">
      <alignment vertical="center" wrapText="1"/>
    </xf>
    <xf numFmtId="0" fontId="8" fillId="14" borderId="31" xfId="0" applyFont="1" applyFill="1" applyBorder="1" applyAlignment="1">
      <alignment horizontal="left" vertical="center" indent="15"/>
    </xf>
    <xf numFmtId="0" fontId="8" fillId="14" borderId="36" xfId="0" applyFont="1" applyFill="1" applyBorder="1" applyAlignment="1">
      <alignment horizontal="left" vertical="center" indent="15"/>
    </xf>
    <xf numFmtId="0" fontId="8" fillId="14" borderId="32" xfId="0" applyFont="1" applyFill="1" applyBorder="1" applyAlignment="1">
      <alignment horizontal="left" vertical="center" indent="15"/>
    </xf>
    <xf numFmtId="165" fontId="8" fillId="14" borderId="41" xfId="0" applyNumberFormat="1" applyFont="1" applyFill="1" applyBorder="1" applyAlignment="1">
      <alignment vertical="center" wrapText="1"/>
    </xf>
    <xf numFmtId="165" fontId="8" fillId="0" borderId="0" xfId="0" applyNumberFormat="1" applyFont="1" applyBorder="1" applyAlignment="1">
      <alignment vertical="center" wrapText="1"/>
    </xf>
    <xf numFmtId="0" fontId="2" fillId="0" borderId="31" xfId="0" applyFont="1" applyBorder="1" applyAlignment="1">
      <alignment horizontal="left" vertical="center" wrapText="1"/>
    </xf>
    <xf numFmtId="0" fontId="2" fillId="0" borderId="44" xfId="0" applyFont="1" applyBorder="1" applyAlignment="1">
      <alignment vertical="center" wrapText="1"/>
    </xf>
    <xf numFmtId="0" fontId="2" fillId="0" borderId="48" xfId="0" applyFont="1" applyBorder="1" applyAlignment="1">
      <alignment horizontal="center" vertical="center" wrapText="1"/>
    </xf>
    <xf numFmtId="165" fontId="2" fillId="0" borderId="48" xfId="1" applyFont="1" applyBorder="1" applyAlignment="1" applyProtection="1">
      <alignment horizontal="center" vertical="center" wrapText="1"/>
    </xf>
    <xf numFmtId="0" fontId="5" fillId="0" borderId="48" xfId="0" applyFont="1" applyBorder="1" applyAlignment="1">
      <alignment horizontal="center" vertical="center" wrapText="1"/>
    </xf>
    <xf numFmtId="165" fontId="2" fillId="0" borderId="48" xfId="0" applyNumberFormat="1" applyFont="1" applyBorder="1" applyAlignment="1">
      <alignment horizontal="center" vertical="center" wrapText="1"/>
    </xf>
    <xf numFmtId="165" fontId="5" fillId="10" borderId="48" xfId="0" applyNumberFormat="1" applyFont="1" applyFill="1" applyBorder="1" applyAlignment="1">
      <alignment horizontal="center" vertical="center" wrapText="1"/>
    </xf>
    <xf numFmtId="165" fontId="5" fillId="0" borderId="48" xfId="0" applyNumberFormat="1" applyFont="1" applyBorder="1" applyAlignment="1">
      <alignment horizontal="center" vertical="center" wrapText="1"/>
    </xf>
    <xf numFmtId="0" fontId="8" fillId="0" borderId="48" xfId="0" applyFont="1" applyBorder="1" applyAlignment="1">
      <alignment horizontal="center" vertical="center" wrapText="1"/>
    </xf>
    <xf numFmtId="165" fontId="7" fillId="0" borderId="48" xfId="0" applyNumberFormat="1" applyFont="1" applyBorder="1" applyAlignment="1">
      <alignment horizontal="center" vertical="center" wrapText="1"/>
    </xf>
    <xf numFmtId="165" fontId="8" fillId="0" borderId="48" xfId="0" applyNumberFormat="1" applyFont="1" applyBorder="1" applyAlignment="1">
      <alignment horizontal="center" vertical="center" wrapText="1"/>
    </xf>
    <xf numFmtId="4" fontId="2" fillId="0" borderId="0" xfId="0" applyNumberFormat="1" applyFont="1"/>
    <xf numFmtId="4" fontId="12" fillId="0" borderId="0" xfId="0" applyNumberFormat="1" applyFont="1"/>
    <xf numFmtId="10" fontId="12" fillId="0" borderId="0" xfId="0" applyNumberFormat="1" applyFont="1"/>
    <xf numFmtId="0" fontId="7" fillId="0" borderId="48" xfId="0" applyFont="1" applyBorder="1" applyAlignment="1">
      <alignment horizontal="center" vertical="center" wrapText="1"/>
    </xf>
    <xf numFmtId="165" fontId="8" fillId="10" borderId="48" xfId="0" applyNumberFormat="1" applyFont="1" applyFill="1" applyBorder="1" applyAlignment="1">
      <alignment horizontal="center" vertical="center" wrapText="1"/>
    </xf>
    <xf numFmtId="165" fontId="7" fillId="10" borderId="48" xfId="0" applyNumberFormat="1" applyFont="1" applyFill="1" applyBorder="1" applyAlignment="1">
      <alignment horizontal="center" vertical="center" wrapText="1"/>
    </xf>
    <xf numFmtId="0" fontId="8" fillId="0" borderId="48" xfId="0" applyFont="1" applyBorder="1" applyAlignment="1">
      <alignment horizontal="center" vertical="center"/>
    </xf>
    <xf numFmtId="10" fontId="7" fillId="0" borderId="48" xfId="3" applyNumberFormat="1" applyFont="1" applyBorder="1" applyAlignment="1" applyProtection="1">
      <alignment horizontal="center" vertical="center"/>
    </xf>
    <xf numFmtId="172" fontId="7" fillId="13" borderId="48" xfId="1" applyNumberFormat="1" applyFont="1" applyFill="1" applyBorder="1" applyAlignment="1" applyProtection="1">
      <alignment horizontal="center" vertical="center"/>
    </xf>
    <xf numFmtId="165" fontId="7" fillId="13" borderId="48" xfId="0" applyNumberFormat="1" applyFont="1" applyFill="1" applyBorder="1" applyAlignment="1">
      <alignment horizontal="center" vertical="center" wrapText="1"/>
    </xf>
    <xf numFmtId="165" fontId="5" fillId="0" borderId="48" xfId="0" applyNumberFormat="1" applyFont="1" applyBorder="1" applyAlignment="1">
      <alignment vertical="center" wrapText="1"/>
    </xf>
    <xf numFmtId="165" fontId="8" fillId="14" borderId="48" xfId="0" applyNumberFormat="1" applyFont="1" applyFill="1" applyBorder="1" applyAlignment="1">
      <alignment vertical="center" wrapText="1"/>
    </xf>
    <xf numFmtId="0" fontId="8" fillId="0" borderId="36" xfId="0" applyFont="1" applyBorder="1" applyAlignment="1">
      <alignment horizontal="left" vertical="center" indent="9"/>
    </xf>
    <xf numFmtId="10" fontId="7" fillId="0" borderId="42" xfId="3" applyNumberFormat="1" applyFont="1" applyBorder="1" applyAlignment="1" applyProtection="1">
      <alignment horizontal="left" vertical="center" indent="12"/>
    </xf>
    <xf numFmtId="172" fontId="7" fillId="13" borderId="42" xfId="1" applyNumberFormat="1" applyFont="1" applyFill="1" applyBorder="1" applyAlignment="1" applyProtection="1">
      <alignment horizontal="left" vertical="center" indent="12"/>
    </xf>
    <xf numFmtId="10" fontId="8" fillId="10" borderId="42" xfId="3" applyNumberFormat="1" applyFont="1" applyFill="1" applyBorder="1" applyAlignment="1" applyProtection="1">
      <alignment horizontal="left" vertical="center" indent="12"/>
    </xf>
    <xf numFmtId="0" fontId="22" fillId="0" borderId="0" xfId="0" applyFont="1" applyAlignment="1"/>
    <xf numFmtId="174" fontId="2" fillId="0" borderId="0" xfId="0" applyNumberFormat="1" applyFont="1" applyBorder="1" applyAlignment="1">
      <alignment horizontal="right"/>
    </xf>
    <xf numFmtId="10" fontId="2" fillId="0" borderId="41" xfId="3" applyNumberFormat="1" applyFont="1" applyBorder="1" applyAlignment="1" applyProtection="1">
      <alignment horizontal="center" vertical="center" wrapText="1"/>
    </xf>
    <xf numFmtId="0" fontId="5" fillId="0" borderId="41" xfId="0" applyFont="1" applyBorder="1" applyAlignment="1">
      <alignment vertical="center" wrapText="1"/>
    </xf>
    <xf numFmtId="172" fontId="2" fillId="13" borderId="41" xfId="1" applyNumberFormat="1" applyFont="1" applyFill="1" applyBorder="1" applyAlignment="1" applyProtection="1">
      <alignment horizontal="center" vertical="center" wrapText="1"/>
    </xf>
    <xf numFmtId="0" fontId="2" fillId="12" borderId="40" xfId="0" applyFont="1" applyFill="1" applyBorder="1" applyAlignment="1">
      <alignment horizontal="center" vertical="center" wrapText="1"/>
    </xf>
    <xf numFmtId="0" fontId="2" fillId="12" borderId="41" xfId="0" applyFont="1" applyFill="1" applyBorder="1" applyAlignment="1">
      <alignment vertical="center" wrapText="1"/>
    </xf>
    <xf numFmtId="10" fontId="2" fillId="12" borderId="41" xfId="3" applyNumberFormat="1" applyFont="1" applyFill="1" applyBorder="1" applyAlignment="1" applyProtection="1">
      <alignment horizontal="center" vertical="center" wrapText="1"/>
    </xf>
    <xf numFmtId="10" fontId="5" fillId="0" borderId="41" xfId="3" applyNumberFormat="1" applyFont="1" applyBorder="1" applyAlignment="1" applyProtection="1">
      <alignment horizontal="center" vertical="center" wrapText="1"/>
    </xf>
    <xf numFmtId="0" fontId="2" fillId="0" borderId="32" xfId="0" applyFont="1" applyBorder="1" applyAlignment="1">
      <alignment vertical="center"/>
    </xf>
    <xf numFmtId="173" fontId="23" fillId="0" borderId="41" xfId="2" applyFont="1" applyBorder="1" applyAlignment="1" applyProtection="1">
      <alignment horizontal="center" vertical="center" wrapText="1"/>
    </xf>
    <xf numFmtId="173" fontId="24" fillId="15" borderId="41" xfId="2" applyFont="1" applyFill="1" applyBorder="1" applyAlignment="1" applyProtection="1">
      <alignment horizontal="center" vertical="center" wrapText="1"/>
    </xf>
    <xf numFmtId="173" fontId="21" fillId="15" borderId="41" xfId="2" applyFont="1" applyFill="1" applyBorder="1" applyAlignment="1" applyProtection="1">
      <alignment horizontal="center" vertical="center" wrapText="1"/>
    </xf>
    <xf numFmtId="0" fontId="13" fillId="0" borderId="0" xfId="0" applyFont="1" applyAlignment="1">
      <alignment horizontal="right"/>
    </xf>
    <xf numFmtId="174" fontId="13" fillId="0" borderId="0" xfId="0" applyNumberFormat="1" applyFont="1" applyAlignment="1">
      <alignment horizontal="left"/>
    </xf>
    <xf numFmtId="0" fontId="2" fillId="0" borderId="0" xfId="0" applyFont="1" applyAlignment="1">
      <alignment horizontal="center"/>
    </xf>
    <xf numFmtId="0" fontId="2" fillId="0" borderId="48" xfId="0" applyFont="1" applyBorder="1" applyAlignment="1">
      <alignment horizontal="center"/>
    </xf>
    <xf numFmtId="0" fontId="14" fillId="0" borderId="0" xfId="0" applyFont="1" applyAlignment="1">
      <alignment horizontal="right"/>
    </xf>
    <xf numFmtId="174" fontId="14" fillId="0" borderId="0" xfId="0" applyNumberFormat="1" applyFont="1" applyAlignment="1">
      <alignment horizontal="left"/>
    </xf>
    <xf numFmtId="0" fontId="4" fillId="16" borderId="41" xfId="0" applyFont="1" applyFill="1" applyBorder="1" applyAlignment="1">
      <alignment vertical="center" wrapText="1"/>
    </xf>
    <xf numFmtId="0" fontId="6" fillId="0" borderId="0" xfId="0" applyFont="1"/>
    <xf numFmtId="0" fontId="25" fillId="16" borderId="31" xfId="0" applyFont="1" applyFill="1" applyBorder="1" applyAlignment="1">
      <alignment vertical="center" wrapText="1"/>
    </xf>
    <xf numFmtId="0" fontId="25" fillId="16" borderId="32" xfId="0" applyFont="1" applyFill="1" applyBorder="1" applyAlignment="1">
      <alignment vertical="center" wrapText="1"/>
    </xf>
    <xf numFmtId="0" fontId="8" fillId="0" borderId="31" xfId="0" applyFont="1" applyBorder="1" applyAlignment="1">
      <alignment horizontal="center" vertical="center" wrapText="1"/>
    </xf>
    <xf numFmtId="0" fontId="8" fillId="0" borderId="41" xfId="0" applyFont="1" applyBorder="1" applyAlignment="1">
      <alignment horizontal="center" vertical="center" wrapText="1"/>
    </xf>
    <xf numFmtId="10" fontId="26" fillId="0" borderId="2" xfId="0" applyNumberFormat="1" applyFont="1" applyBorder="1" applyAlignment="1">
      <alignment horizontal="center" vertical="center" wrapText="1"/>
    </xf>
    <xf numFmtId="0" fontId="26" fillId="0" borderId="32" xfId="0" applyFont="1" applyBorder="1" applyAlignment="1">
      <alignment horizontal="center" vertical="center" wrapText="1"/>
    </xf>
    <xf numFmtId="165" fontId="27" fillId="0" borderId="41" xfId="0" applyNumberFormat="1" applyFont="1" applyBorder="1" applyAlignment="1">
      <alignment horizontal="center" vertical="center" wrapText="1"/>
    </xf>
    <xf numFmtId="165" fontId="26" fillId="0" borderId="41" xfId="0" applyNumberFormat="1" applyFont="1" applyBorder="1" applyAlignment="1">
      <alignment vertical="center" wrapText="1"/>
    </xf>
    <xf numFmtId="10" fontId="7" fillId="0" borderId="40" xfId="0" applyNumberFormat="1" applyFont="1" applyBorder="1" applyAlignment="1">
      <alignment horizontal="left" vertical="center" wrapText="1" indent="1"/>
    </xf>
    <xf numFmtId="173" fontId="7" fillId="0" borderId="41" xfId="2" applyFont="1" applyBorder="1" applyAlignment="1" applyProtection="1">
      <alignment vertical="center" wrapText="1"/>
    </xf>
    <xf numFmtId="173" fontId="7" fillId="0" borderId="41" xfId="0" applyNumberFormat="1" applyFont="1" applyBorder="1" applyAlignment="1">
      <alignment vertical="center" wrapText="1"/>
    </xf>
    <xf numFmtId="173" fontId="7" fillId="0" borderId="41" xfId="2" applyFont="1" applyBorder="1" applyAlignment="1" applyProtection="1">
      <alignment horizontal="center" vertical="center" wrapText="1"/>
    </xf>
    <xf numFmtId="0" fontId="4" fillId="0" borderId="0" xfId="0" applyFont="1" applyAlignment="1"/>
    <xf numFmtId="165" fontId="28" fillId="0" borderId="41"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32"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vertical="center" wrapText="1"/>
    </xf>
    <xf numFmtId="165" fontId="12" fillId="0" borderId="41" xfId="0" applyNumberFormat="1" applyFont="1" applyBorder="1" applyAlignment="1">
      <alignment horizontal="center" vertical="center" wrapText="1"/>
    </xf>
    <xf numFmtId="165" fontId="31" fillId="10" borderId="41" xfId="0" applyNumberFormat="1" applyFont="1" applyFill="1" applyBorder="1" applyAlignment="1">
      <alignment horizontal="center" vertical="center" wrapText="1"/>
    </xf>
    <xf numFmtId="0" fontId="31" fillId="0" borderId="0" xfId="0" applyFont="1" applyAlignment="1">
      <alignment vertical="center"/>
    </xf>
    <xf numFmtId="165" fontId="12" fillId="0" borderId="0" xfId="0" applyNumberFormat="1" applyFont="1"/>
    <xf numFmtId="165" fontId="31" fillId="0" borderId="41" xfId="0" applyNumberFormat="1" applyFont="1" applyBorder="1" applyAlignment="1">
      <alignment horizontal="center" vertical="center" wrapText="1"/>
    </xf>
    <xf numFmtId="10" fontId="12" fillId="0" borderId="41" xfId="0" applyNumberFormat="1" applyFont="1" applyBorder="1" applyAlignment="1">
      <alignment horizontal="center" vertical="center" wrapText="1"/>
    </xf>
    <xf numFmtId="10" fontId="31" fillId="0" borderId="41" xfId="0" applyNumberFormat="1" applyFont="1" applyBorder="1" applyAlignment="1">
      <alignment horizontal="center" vertical="center" wrapText="1"/>
    </xf>
    <xf numFmtId="0" fontId="30" fillId="0" borderId="0" xfId="0" applyFont="1"/>
    <xf numFmtId="0" fontId="12" fillId="0" borderId="0" xfId="0" applyFont="1" applyAlignment="1">
      <alignment vertical="center"/>
    </xf>
    <xf numFmtId="0" fontId="12" fillId="0" borderId="41" xfId="0" applyFont="1" applyBorder="1" applyAlignment="1">
      <alignment horizontal="justify" vertical="center" wrapText="1"/>
    </xf>
    <xf numFmtId="0" fontId="12" fillId="17" borderId="41" xfId="0" applyFont="1" applyFill="1" applyBorder="1" applyAlignment="1">
      <alignment horizontal="center" vertical="center" wrapText="1"/>
    </xf>
    <xf numFmtId="0" fontId="12" fillId="0" borderId="41" xfId="0" applyFont="1" applyBorder="1" applyAlignment="1">
      <alignment horizontal="center" vertical="center" wrapText="1"/>
    </xf>
    <xf numFmtId="0" fontId="32" fillId="0" borderId="0" xfId="4" applyFont="1" applyBorder="1" applyAlignment="1" applyProtection="1"/>
    <xf numFmtId="0" fontId="12" fillId="10" borderId="41" xfId="0" applyFont="1" applyFill="1" applyBorder="1" applyAlignment="1">
      <alignment horizontal="center" vertical="center" wrapText="1"/>
    </xf>
    <xf numFmtId="0" fontId="31" fillId="0" borderId="32" xfId="0" applyFont="1" applyBorder="1" applyAlignment="1">
      <alignment vertical="center" wrapText="1"/>
    </xf>
    <xf numFmtId="0" fontId="31" fillId="0" borderId="40" xfId="0" applyFont="1" applyBorder="1" applyAlignment="1">
      <alignment horizontal="center" vertical="center" wrapText="1"/>
    </xf>
    <xf numFmtId="165" fontId="12" fillId="0" borderId="41" xfId="0" applyNumberFormat="1" applyFont="1" applyBorder="1" applyAlignment="1">
      <alignment vertical="center" wrapText="1"/>
    </xf>
    <xf numFmtId="165" fontId="31" fillId="0" borderId="41" xfId="0" applyNumberFormat="1" applyFont="1" applyBorder="1" applyAlignment="1">
      <alignment vertical="center" wrapText="1"/>
    </xf>
    <xf numFmtId="0" fontId="5" fillId="3" borderId="40" xfId="0" applyFont="1" applyFill="1" applyBorder="1" applyAlignment="1">
      <alignment horizontal="center" vertical="center"/>
    </xf>
    <xf numFmtId="0" fontId="8" fillId="3" borderId="29" xfId="0" applyFont="1" applyFill="1" applyBorder="1" applyAlignment="1">
      <alignment horizontal="center" vertical="center"/>
    </xf>
    <xf numFmtId="0" fontId="4" fillId="0" borderId="0" xfId="0" applyFont="1" applyBorder="1" applyAlignment="1">
      <alignment horizontal="center" vertical="center"/>
    </xf>
    <xf numFmtId="0" fontId="8" fillId="3" borderId="37" xfId="0" applyFont="1" applyFill="1" applyBorder="1" applyAlignment="1">
      <alignment horizontal="center" vertical="center" wrapText="1"/>
    </xf>
    <xf numFmtId="0" fontId="16" fillId="0" borderId="0" xfId="0" applyFont="1" applyBorder="1" applyAlignment="1">
      <alignment horizontal="center"/>
    </xf>
    <xf numFmtId="0" fontId="5" fillId="0" borderId="2" xfId="0" applyFont="1" applyBorder="1" applyAlignment="1">
      <alignment horizontal="center" vertical="center" wrapText="1"/>
    </xf>
    <xf numFmtId="0" fontId="5" fillId="9" borderId="0" xfId="0" applyFont="1" applyFill="1" applyBorder="1" applyAlignment="1">
      <alignment horizontal="center" vertical="center"/>
    </xf>
    <xf numFmtId="0" fontId="5" fillId="0" borderId="2" xfId="0" applyFont="1" applyBorder="1" applyAlignment="1">
      <alignment horizontal="center" vertical="center"/>
    </xf>
    <xf numFmtId="0" fontId="2" fillId="0" borderId="2" xfId="0" applyFont="1" applyBorder="1" applyAlignment="1">
      <alignment vertical="center" wrapText="1"/>
    </xf>
    <xf numFmtId="0" fontId="5" fillId="3" borderId="0" xfId="0" applyFont="1" applyFill="1" applyBorder="1" applyAlignment="1">
      <alignment horizontal="center" vertical="center"/>
    </xf>
    <xf numFmtId="0" fontId="5" fillId="11" borderId="0" xfId="0" applyFont="1" applyFill="1" applyBorder="1" applyAlignment="1">
      <alignment horizontal="center" vertical="center"/>
    </xf>
    <xf numFmtId="0" fontId="5" fillId="11"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8" fillId="11" borderId="0" xfId="0" applyFont="1" applyFill="1" applyBorder="1" applyAlignment="1">
      <alignment horizontal="center" vertical="center"/>
    </xf>
    <xf numFmtId="0" fontId="7" fillId="0" borderId="0" xfId="0" applyFont="1" applyBorder="1"/>
    <xf numFmtId="0" fontId="7" fillId="0" borderId="2" xfId="0" applyFont="1" applyBorder="1" applyAlignment="1">
      <alignment vertical="center" wrapText="1"/>
    </xf>
    <xf numFmtId="0" fontId="7" fillId="12" borderId="2" xfId="0" applyFont="1" applyFill="1" applyBorder="1" applyAlignment="1">
      <alignment vertical="center" wrapText="1"/>
    </xf>
    <xf numFmtId="173" fontId="2" fillId="0" borderId="2" xfId="2" applyFont="1" applyBorder="1" applyAlignment="1" applyProtection="1">
      <alignment horizontal="center" vertical="center" wrapText="1"/>
    </xf>
    <xf numFmtId="0" fontId="2" fillId="0" borderId="2" xfId="0" applyFont="1" applyBorder="1" applyAlignment="1">
      <alignment horizontal="left" vertical="center" wrapText="1"/>
    </xf>
    <xf numFmtId="173" fontId="21" fillId="0" borderId="2" xfId="2" applyFont="1" applyBorder="1" applyAlignment="1" applyProtection="1">
      <alignment horizontal="center" vertical="center" wrapText="1"/>
    </xf>
    <xf numFmtId="0" fontId="2" fillId="0" borderId="0"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left" vertical="center" wrapText="1"/>
    </xf>
    <xf numFmtId="0" fontId="2" fillId="0" borderId="0" xfId="0" applyFont="1" applyBorder="1" applyAlignment="1">
      <alignment horizontal="left" vertical="top" wrapText="1"/>
    </xf>
    <xf numFmtId="0" fontId="16" fillId="0" borderId="0" xfId="0" applyFont="1" applyBorder="1" applyAlignment="1">
      <alignment horizontal="center" vertical="center"/>
    </xf>
    <xf numFmtId="0" fontId="0" fillId="0" borderId="0" xfId="0" applyBorder="1" applyAlignment="1">
      <alignment horizontal="center"/>
    </xf>
    <xf numFmtId="0" fontId="4" fillId="16" borderId="2" xfId="0" applyFont="1" applyFill="1" applyBorder="1" applyAlignment="1">
      <alignment vertical="center" wrapText="1"/>
    </xf>
    <xf numFmtId="0" fontId="25" fillId="16" borderId="2" xfId="0" applyFont="1" applyFill="1" applyBorder="1" applyAlignment="1">
      <alignment vertical="center" wrapText="1"/>
    </xf>
    <xf numFmtId="0" fontId="25" fillId="16" borderId="2" xfId="0" applyFont="1" applyFill="1" applyBorder="1" applyAlignment="1">
      <alignment horizontal="left" vertical="center" wrapText="1"/>
    </xf>
    <xf numFmtId="0" fontId="22" fillId="0" borderId="0" xfId="0" applyFont="1" applyBorder="1" applyAlignment="1">
      <alignment horizontal="center"/>
    </xf>
    <xf numFmtId="0" fontId="29" fillId="2" borderId="0" xfId="0" applyFont="1" applyFill="1" applyBorder="1" applyAlignment="1">
      <alignment horizontal="center"/>
    </xf>
    <xf numFmtId="0" fontId="30" fillId="0" borderId="0" xfId="0" applyFont="1" applyBorder="1" applyAlignment="1">
      <alignment horizontal="center"/>
    </xf>
    <xf numFmtId="0" fontId="31" fillId="3" borderId="0" xfId="0" applyFont="1" applyFill="1" applyBorder="1" applyAlignment="1">
      <alignment horizontal="center" vertical="center"/>
    </xf>
    <xf numFmtId="0" fontId="31" fillId="0" borderId="2" xfId="0" applyFont="1" applyBorder="1" applyAlignment="1">
      <alignment horizontal="center" vertical="center" wrapText="1"/>
    </xf>
    <xf numFmtId="0" fontId="31" fillId="11" borderId="0" xfId="0" applyFont="1" applyFill="1" applyBorder="1" applyAlignment="1">
      <alignment horizontal="center" vertical="center"/>
    </xf>
    <xf numFmtId="0" fontId="31" fillId="11" borderId="0" xfId="0" applyFont="1" applyFill="1" applyBorder="1" applyAlignment="1">
      <alignment horizontal="center" vertical="center" wrapText="1"/>
    </xf>
    <xf numFmtId="0" fontId="5" fillId="0" borderId="43" xfId="0" applyFont="1" applyBorder="1" applyAlignment="1">
      <alignment horizontal="left" vertical="center" wrapText="1"/>
    </xf>
    <xf numFmtId="10" fontId="2" fillId="0" borderId="43" xfId="0" applyNumberFormat="1" applyFont="1" applyBorder="1" applyAlignment="1">
      <alignment horizontal="left" vertical="center" wrapText="1"/>
    </xf>
    <xf numFmtId="10" fontId="5" fillId="0" borderId="43" xfId="0" applyNumberFormat="1" applyFont="1" applyBorder="1" applyAlignment="1">
      <alignment horizontal="left" vertical="center" wrapText="1"/>
    </xf>
  </cellXfs>
  <cellStyles count="14">
    <cellStyle name="Hiperlink" xfId="4" builtinId="8"/>
    <cellStyle name="Moeda" xfId="2" builtinId="4"/>
    <cellStyle name="Normal" xfId="0" builtinId="0"/>
    <cellStyle name="Normal 2" xfId="5" xr:uid="{00000000-0005-0000-0000-000006000000}"/>
    <cellStyle name="Porcentagem" xfId="3" builtinId="5"/>
    <cellStyle name="Vírgula" xfId="1" builtinId="3"/>
    <cellStyle name="Vírgula 2" xfId="6" xr:uid="{00000000-0005-0000-0000-000007000000}"/>
    <cellStyle name="Vírgula 3" xfId="7" xr:uid="{00000000-0005-0000-0000-000008000000}"/>
    <cellStyle name="Vírgula 3 2" xfId="8" xr:uid="{00000000-0005-0000-0000-000009000000}"/>
    <cellStyle name="Vírgula 4" xfId="9" xr:uid="{00000000-0005-0000-0000-00000A000000}"/>
    <cellStyle name="Vírgula 4 2" xfId="10" xr:uid="{00000000-0005-0000-0000-00000B000000}"/>
    <cellStyle name="Vírgula 5" xfId="11" xr:uid="{00000000-0005-0000-0000-00000C000000}"/>
    <cellStyle name="Vírgula 5 2" xfId="12" xr:uid="{00000000-0005-0000-0000-00000D000000}"/>
    <cellStyle name="Vírgula 6" xfId="13" xr:uid="{00000000-0005-0000-0000-00000E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67171"/>
      <rgbColor rgb="FFAFABAB"/>
      <rgbColor rgb="FF993366"/>
      <rgbColor rgb="FFEEEEEE"/>
      <rgbColor rgb="FFDEEBF7"/>
      <rgbColor rgb="FF660066"/>
      <rgbColor rgb="FFFF8080"/>
      <rgbColor rgb="FF0563C1"/>
      <rgbColor rgb="FFBDD7EE"/>
      <rgbColor rgb="FF000080"/>
      <rgbColor rgb="FFFF00FF"/>
      <rgbColor rgb="FFFFFF00"/>
      <rgbColor rgb="FF00FFFF"/>
      <rgbColor rgb="FF800080"/>
      <rgbColor rgb="FF800000"/>
      <rgbColor rgb="FF008080"/>
      <rgbColor rgb="FF0000FF"/>
      <rgbColor rgb="FF00B0F0"/>
      <rgbColor rgb="FFCCFFFF"/>
      <rgbColor rgb="FFD9D9D9"/>
      <rgbColor rgb="FFFBE5D6"/>
      <rgbColor rgb="FF9DC3E6"/>
      <rgbColor rgb="FFF4B183"/>
      <rgbColor rgb="FFCC99FF"/>
      <rgbColor rgb="FFF8CBAD"/>
      <rgbColor rgb="FF2E75B6"/>
      <rgbColor rgb="FF33CCCC"/>
      <rgbColor rgb="FF99CC00"/>
      <rgbColor rgb="FFFFCC00"/>
      <rgbColor rgb="FFFF9900"/>
      <rgbColor rgb="FFC55A11"/>
      <rgbColor rgb="FF666699"/>
      <rgbColor rgb="FFA6A6A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15</xdr:col>
      <xdr:colOff>111960</xdr:colOff>
      <xdr:row>134</xdr:row>
      <xdr:rowOff>392040</xdr:rowOff>
    </xdr:from>
    <xdr:to>
      <xdr:col>24</xdr:col>
      <xdr:colOff>150480</xdr:colOff>
      <xdr:row>150</xdr:row>
      <xdr:rowOff>403200</xdr:rowOff>
    </xdr:to>
    <xdr:sp macro="" textlink="">
      <xdr:nvSpPr>
        <xdr:cNvPr id="2" name="CustomShape 1">
          <a:extLst>
            <a:ext uri="{FF2B5EF4-FFF2-40B4-BE49-F238E27FC236}">
              <a16:creationId xmlns:a16="http://schemas.microsoft.com/office/drawing/2014/main" id="{00000000-0008-0000-0100-000002000000}"/>
            </a:ext>
          </a:extLst>
        </xdr:cNvPr>
        <xdr:cNvSpPr/>
      </xdr:nvSpPr>
      <xdr:spPr>
        <a:xfrm>
          <a:off x="15963840" y="32529240"/>
          <a:ext cx="5833440" cy="371628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pt-BR" sz="1100" b="0" strike="noStrike" spc="-1">
              <a:solidFill>
                <a:srgbClr val="000000"/>
              </a:solidFill>
              <a:latin typeface="Calibri"/>
            </a:rPr>
            <a:t>10.9 MATERIAS PERTINENTES À EXECUÇÃO DOS SERVIÇO:</a:t>
          </a:r>
          <a:endParaRPr lang="pt-BR" sz="1100" b="0" strike="noStrike" spc="-1">
            <a:latin typeface="Times New Roman"/>
          </a:endParaRPr>
        </a:p>
        <a:p>
          <a:pPr>
            <a:lnSpc>
              <a:spcPct val="100000"/>
            </a:lnSpc>
          </a:pPr>
          <a:br/>
          <a:endParaRPr lang="pt-BR" sz="1100" b="0" strike="noStrike" spc="-1">
            <a:latin typeface="Times New Roman"/>
          </a:endParaRPr>
        </a:p>
        <a:p>
          <a:pPr>
            <a:lnSpc>
              <a:spcPct val="100000"/>
            </a:lnSpc>
          </a:pPr>
          <a:r>
            <a:rPr lang="pt-BR" sz="1100" b="0" strike="noStrike" spc="-1">
              <a:solidFill>
                <a:srgbClr val="000000"/>
              </a:solidFill>
              <a:latin typeface="Calibri"/>
            </a:rPr>
            <a:t>a) cofres reforçados no mínimo para guardar 03 (três) armas em cada unidade;</a:t>
          </a:r>
          <a:endParaRPr lang="pt-BR" sz="1100" b="0" strike="noStrike" spc="-1">
            <a:latin typeface="Times New Roman"/>
          </a:endParaRPr>
        </a:p>
        <a:p>
          <a:pPr>
            <a:lnSpc>
              <a:spcPct val="100000"/>
            </a:lnSpc>
          </a:pPr>
          <a:r>
            <a:rPr lang="pt-BR" sz="1100" b="0" strike="noStrike" spc="-1">
              <a:solidFill>
                <a:srgbClr val="000000"/>
              </a:solidFill>
              <a:latin typeface="Calibri"/>
            </a:rPr>
            <a:t>b) 01 revolver calibre 38, para cada posto contratado e 6(seis) munições de reserva para cada unidade da capital/interior; </a:t>
          </a:r>
          <a:endParaRPr lang="pt-BR" sz="1100" b="0" strike="noStrike" spc="-1">
            <a:latin typeface="Times New Roman"/>
          </a:endParaRPr>
        </a:p>
        <a:p>
          <a:pPr>
            <a:lnSpc>
              <a:spcPct val="100000"/>
            </a:lnSpc>
          </a:pPr>
          <a:r>
            <a:rPr lang="pt-BR" sz="1100" b="0" strike="noStrike" spc="-1">
              <a:solidFill>
                <a:srgbClr val="000000"/>
              </a:solidFill>
              <a:latin typeface="Calibri"/>
            </a:rPr>
            <a:t>c) 30 (trinta) rádios portáreis tipo HT, convencional que atenda à distância de 01 (um) KM. Que serão distribuídos de acordo com as necessidades;</a:t>
          </a:r>
          <a:endParaRPr lang="pt-BR" sz="1100" b="0" strike="noStrike" spc="-1">
            <a:latin typeface="Times New Roman"/>
          </a:endParaRPr>
        </a:p>
        <a:p>
          <a:pPr>
            <a:lnSpc>
              <a:spcPct val="100000"/>
            </a:lnSpc>
          </a:pPr>
          <a:r>
            <a:rPr lang="pt-BR" sz="1100" b="0" strike="noStrike" spc="-1">
              <a:solidFill>
                <a:srgbClr val="000000"/>
              </a:solidFill>
              <a:latin typeface="Calibri"/>
            </a:rPr>
            <a:t>d) algemas, (quarenta) tonfas e livros de ocorrência em cada unidade, </a:t>
          </a:r>
          <a:endParaRPr lang="pt-BR" sz="1100" b="0" strike="noStrike" spc="-1">
            <a:latin typeface="Times New Roman"/>
          </a:endParaRPr>
        </a:p>
        <a:p>
          <a:pPr>
            <a:lnSpc>
              <a:spcPct val="100000"/>
            </a:lnSpc>
          </a:pPr>
          <a:r>
            <a:rPr lang="pt-BR" sz="1100" b="0" strike="noStrike" spc="-1">
              <a:solidFill>
                <a:srgbClr val="000000"/>
              </a:solidFill>
              <a:latin typeface="Calibri"/>
            </a:rPr>
            <a:t>e) 1 (uma) lanternas de recarga elétrica em cada unidade do interior e (4) na capital;</a:t>
          </a:r>
          <a:endParaRPr lang="pt-BR" sz="1100" b="0" strike="noStrike" spc="-1">
            <a:latin typeface="Times New Roman"/>
          </a:endParaRPr>
        </a:p>
        <a:p>
          <a:pPr>
            <a:lnSpc>
              <a:spcPct val="100000"/>
            </a:lnSpc>
          </a:pPr>
          <a:r>
            <a:rPr lang="pt-BR" sz="1100" b="0" strike="noStrike" spc="-1">
              <a:solidFill>
                <a:srgbClr val="000000"/>
              </a:solidFill>
              <a:latin typeface="Calibri"/>
            </a:rPr>
            <a:t>f) coletes a prova de bala para cada posto armado com uma capa reserva , bem como portar cinto com coldre e baleiro, distintivo tipo broche, porta tonfa, apito, cordão de apito. </a:t>
          </a:r>
          <a:endParaRPr lang="pt-BR" sz="1100" b="0" strike="noStrike" spc="-1">
            <a:latin typeface="Times New Roman"/>
          </a:endParaRPr>
        </a:p>
        <a:p>
          <a:pPr>
            <a:lnSpc>
              <a:spcPct val="100000"/>
            </a:lnSpc>
          </a:pPr>
          <a:r>
            <a:rPr lang="pt-BR" sz="1100" b="0" strike="noStrike" spc="-1">
              <a:solidFill>
                <a:srgbClr val="000000"/>
              </a:solidFill>
              <a:latin typeface="Calibri"/>
            </a:rPr>
            <a:t>A Contratada não poderá repassar os custos de qualquer um desses itens de uniforme e equipamentos aos seus empregados;</a:t>
          </a:r>
          <a:endParaRPr lang="pt-BR" sz="1100" b="0" strike="noStrike" spc="-1">
            <a:latin typeface="Times New Roman"/>
          </a:endParaRPr>
        </a:p>
        <a:p>
          <a:pPr>
            <a:lnSpc>
              <a:spcPct val="100000"/>
            </a:lnSpc>
          </a:pPr>
          <a:r>
            <a:rPr lang="pt-BR" sz="1100" b="0" strike="noStrike" spc="-1">
              <a:solidFill>
                <a:srgbClr val="000000"/>
              </a:solidFill>
              <a:latin typeface="Calibri"/>
            </a:rPr>
            <a:t>g) EPI obrigatório: Colete Nível IIA, e Bota Tática, com troca anual.</a:t>
          </a:r>
          <a:endParaRPr lang="pt-BR" sz="1100" b="0" strike="noStrike" spc="-1">
            <a:latin typeface="Times New Roman"/>
          </a:endParaRPr>
        </a:p>
        <a:p>
          <a:pPr>
            <a:lnSpc>
              <a:spcPct val="100000"/>
            </a:lnSpc>
          </a:pPr>
          <a:endParaRPr lang="pt-BR" sz="1100" b="0" strike="noStrike" spc="-1">
            <a:latin typeface="Times New Roman"/>
          </a:endParaRPr>
        </a:p>
      </xdr:txBody>
    </xdr:sp>
    <xdr:clientData/>
  </xdr:twoCellAnchor>
  <xdr:twoCellAnchor>
    <xdr:from>
      <xdr:col>10</xdr:col>
      <xdr:colOff>285840</xdr:colOff>
      <xdr:row>8</xdr:row>
      <xdr:rowOff>204120</xdr:rowOff>
    </xdr:from>
    <xdr:to>
      <xdr:col>17</xdr:col>
      <xdr:colOff>88920</xdr:colOff>
      <xdr:row>76</xdr:row>
      <xdr:rowOff>61560</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12390120" y="2328120"/>
          <a:ext cx="4838400" cy="1625004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pt-BR" sz="1600" b="0" strike="noStrike" spc="-1">
              <a:solidFill>
                <a:srgbClr val="000000"/>
              </a:solidFill>
              <a:latin typeface="Calibri"/>
            </a:rPr>
            <a:t>Em resposta às considerações apontadas pela Coordenadoria de Contabilidade, comentamos o seguinte:</a:t>
          </a:r>
          <a:endParaRPr lang="pt-BR" sz="1600" b="0" strike="noStrike" spc="-1">
            <a:latin typeface="Times New Roman"/>
          </a:endParaRPr>
        </a:p>
        <a:p>
          <a:pPr>
            <a:lnSpc>
              <a:spcPct val="100000"/>
            </a:lnSpc>
          </a:pPr>
          <a:endParaRPr lang="pt-BR" sz="1600" b="0" strike="noStrike" spc="-1">
            <a:latin typeface="Times New Roman"/>
          </a:endParaRPr>
        </a:p>
        <a:p>
          <a:pPr>
            <a:lnSpc>
              <a:spcPct val="100000"/>
            </a:lnSpc>
          </a:pPr>
          <a:r>
            <a:rPr lang="pt-BR" sz="1600" b="0" strike="noStrike" spc="-1">
              <a:solidFill>
                <a:srgbClr val="000000"/>
              </a:solidFill>
              <a:latin typeface="Calibri"/>
            </a:rPr>
            <a:t>1. Adic. Noturno: conforme indicado na memória de cálculo, a Coordenadoria de Material e Logística (CML), tomou como referência para a elaboração da planilha de custos o CADERNO TÉCNICO (CT-BAHIA/2018) elaborado pelo Min. do Planejamento, e disponível do portal Compras Governamentais, que com relação ao adicional noturno dispõe que foram "Respeitadas as jornadas de trabalho e o disposto no art. 59-A e parágrafo segundo do art. 73, ambos da Consolidação das Leis do Trabalho – CLT, alterada pela Lei n° 13.467, de 13 de julho de 2017."</a:t>
          </a:r>
          <a:endParaRPr lang="pt-BR" sz="1600" b="0" strike="noStrike" spc="-1">
            <a:latin typeface="Times New Roman"/>
          </a:endParaRPr>
        </a:p>
        <a:p>
          <a:pPr>
            <a:lnSpc>
              <a:spcPct val="100000"/>
            </a:lnSpc>
          </a:pPr>
          <a:r>
            <a:rPr lang="pt-BR" sz="1600" b="0" strike="noStrike" spc="-1">
              <a:solidFill>
                <a:srgbClr val="000000"/>
              </a:solidFill>
              <a:latin typeface="Calibri"/>
            </a:rPr>
            <a:t>Contemplando a Reforma Trabalhista, conforme se observa, o referido documento ratifica, portanto, a utilização das 07 horas para o cálculo da rubrica;</a:t>
          </a:r>
          <a:endParaRPr lang="pt-BR" sz="1600" b="0" strike="noStrike" spc="-1">
            <a:latin typeface="Times New Roman"/>
          </a:endParaRPr>
        </a:p>
        <a:p>
          <a:pPr>
            <a:lnSpc>
              <a:spcPct val="100000"/>
            </a:lnSpc>
          </a:pPr>
          <a:endParaRPr lang="pt-BR" sz="1600" b="0" strike="noStrike" spc="-1">
            <a:latin typeface="Times New Roman"/>
          </a:endParaRPr>
        </a:p>
        <a:p>
          <a:pPr>
            <a:lnSpc>
              <a:spcPct val="100000"/>
            </a:lnSpc>
          </a:pPr>
          <a:r>
            <a:rPr lang="pt-BR" sz="1600" b="0" strike="noStrike" spc="-1">
              <a:solidFill>
                <a:srgbClr val="000000"/>
              </a:solidFill>
              <a:latin typeface="Calibri"/>
            </a:rPr>
            <a:t>2. Em relação aos cálculos do Sumodulo 2.1/ B, informamos, que apesar do mencionado Anexo XII tratar da conta vinculada e não do preenchimento da planilha de custos propriamente, por se tratar da mesma rubrica, serão adotados os percentuais do referido item 14 como forma de padronização dos cálculos.</a:t>
          </a:r>
          <a:endParaRPr lang="pt-BR" sz="1600" b="0" strike="noStrike" spc="-1">
            <a:latin typeface="Times New Roman"/>
          </a:endParaRPr>
        </a:p>
        <a:p>
          <a:pPr>
            <a:lnSpc>
              <a:spcPct val="100000"/>
            </a:lnSpc>
          </a:pPr>
          <a:endParaRPr lang="pt-BR" sz="1600" b="0" strike="noStrike" spc="-1">
            <a:latin typeface="Times New Roman"/>
          </a:endParaRPr>
        </a:p>
        <a:p>
          <a:pPr>
            <a:lnSpc>
              <a:spcPct val="100000"/>
            </a:lnSpc>
          </a:pPr>
          <a:r>
            <a:rPr lang="pt-BR" sz="1600" b="0" strike="noStrike" spc="-1">
              <a:solidFill>
                <a:srgbClr val="000000"/>
              </a:solidFill>
              <a:latin typeface="Calibri"/>
            </a:rPr>
            <a:t>3. Em relação ao cálculo do vale-transporte, reiteramos que a CML se utilizou dos parâmetros estabelecidos no Caderno Técnico, que "conforme art. 10 do Decreto nº 95.247, de novembro de 1987, a parcela a ser suportada pelo beneficiário será descontada proporcionalmente à quantidade de Vale-Transporte concedida para o período a que se refere o salário, uma vez que o vigilante 12x36 recebe referente a 15 dias a proporcionalidade é de 50%".</a:t>
          </a:r>
          <a:endParaRPr lang="pt-BR" sz="1600" b="0" strike="noStrike" spc="-1">
            <a:latin typeface="Times New Roman"/>
          </a:endParaRPr>
        </a:p>
        <a:p>
          <a:pPr>
            <a:lnSpc>
              <a:spcPct val="100000"/>
            </a:lnSpc>
          </a:pPr>
          <a:endParaRPr lang="pt-BR" sz="1600" b="0" strike="noStrike" spc="-1">
            <a:latin typeface="Times New Roman"/>
          </a:endParaRPr>
        </a:p>
        <a:p>
          <a:pPr>
            <a:lnSpc>
              <a:spcPct val="100000"/>
            </a:lnSpc>
          </a:pPr>
          <a:r>
            <a:rPr lang="pt-BR" sz="1600" b="0" strike="noStrike" spc="-1">
              <a:solidFill>
                <a:srgbClr val="000000"/>
              </a:solidFill>
              <a:latin typeface="Calibri"/>
            </a:rPr>
            <a:t>4. Sobre o cálculo do dia do vigilante, reiteramos também a utilização do Caderno Técnico, que, "para as jornadas 12x36h, equivale à jornada regular", proporcionalmente, ou seja, 50% do salário - seguindo, inclusive o mesmo raciocínio para o cálculo do custo do vale-transporte. "Para as jornadas 44 horas semanais a Seges utilizou 8,80 que corresponde a quantidade de horas laboradas em um dia pelo empregado", como a média de horas diárias trabalhadas na semana."</a:t>
          </a:r>
          <a:endParaRPr lang="pt-BR" sz="1600" b="0" strike="noStrike" spc="-1">
            <a:latin typeface="Times New Roman"/>
          </a:endParaRPr>
        </a:p>
        <a:p>
          <a:pPr>
            <a:lnSpc>
              <a:spcPct val="100000"/>
            </a:lnSpc>
          </a:pPr>
          <a:endParaRPr lang="pt-BR" sz="1600" b="0" strike="noStrike" spc="-1">
            <a:latin typeface="Times New Roman"/>
          </a:endParaRPr>
        </a:p>
        <a:p>
          <a:pPr>
            <a:lnSpc>
              <a:spcPct val="100000"/>
            </a:lnSpc>
          </a:pPr>
          <a:r>
            <a:rPr lang="pt-BR" sz="1600" b="0" strike="noStrike" spc="-1">
              <a:solidFill>
                <a:srgbClr val="000000"/>
              </a:solidFill>
              <a:latin typeface="Calibri"/>
            </a:rPr>
            <a:t>Diante dos entendimentos diversos com relação ao adicional noturno na jornada 12x36h; no custo do vale-transporte e; no dia do vigilante - itens 1, 3 4 deste documento respectivamente</a:t>
          </a:r>
          <a:endParaRPr lang="pt-BR" sz="1600" b="0" strike="noStrike" spc="-1">
            <a:latin typeface="Times New Roman"/>
          </a:endParaRPr>
        </a:p>
        <a:p>
          <a:pPr>
            <a:lnSpc>
              <a:spcPct val="100000"/>
            </a:lnSpc>
          </a:pPr>
          <a:endParaRPr lang="pt-BR" sz="1600" b="0" strike="noStrike" spc="-1">
            <a:latin typeface="Times New Roman"/>
          </a:endParaRPr>
        </a:p>
        <a:p>
          <a:pPr>
            <a:lnSpc>
              <a:spcPct val="100000"/>
            </a:lnSpc>
          </a:pPr>
          <a:r>
            <a:rPr lang="pt-BR" sz="1600" b="0" strike="noStrike" spc="-1">
              <a:solidFill>
                <a:srgbClr val="000000"/>
              </a:solidFill>
              <a:latin typeface="Calibri"/>
            </a:rPr>
            <a:t> O modulo 1 refere-se ao valor mensal devido ao empregado pela prestação do serviço conforme CT – BAHIA/2018, Módulo 1 – Remuneração.</a:t>
          </a:r>
          <a:endParaRPr lang="pt-BR" sz="1600" b="0" strike="noStrike" spc="-1">
            <a:latin typeface="Times New Roman"/>
          </a:endParaRPr>
        </a:p>
        <a:p>
          <a:pPr>
            <a:lnSpc>
              <a:spcPct val="100000"/>
            </a:lnSpc>
          </a:pPr>
          <a:endParaRPr lang="pt-BR"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111960</xdr:colOff>
      <xdr:row>139</xdr:row>
      <xdr:rowOff>392040</xdr:rowOff>
    </xdr:from>
    <xdr:to>
      <xdr:col>24</xdr:col>
      <xdr:colOff>150480</xdr:colOff>
      <xdr:row>156</xdr:row>
      <xdr:rowOff>402840</xdr:rowOff>
    </xdr:to>
    <xdr:sp macro="" textlink="">
      <xdr:nvSpPr>
        <xdr:cNvPr id="2" name="CustomShape 1">
          <a:extLst>
            <a:ext uri="{FF2B5EF4-FFF2-40B4-BE49-F238E27FC236}">
              <a16:creationId xmlns:a16="http://schemas.microsoft.com/office/drawing/2014/main" id="{00000000-0008-0000-0600-000002000000}"/>
            </a:ext>
          </a:extLst>
        </xdr:cNvPr>
        <xdr:cNvSpPr/>
      </xdr:nvSpPr>
      <xdr:spPr>
        <a:xfrm>
          <a:off x="17971200" y="33948360"/>
          <a:ext cx="5833440" cy="392580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pt-BR" sz="1100" b="0" strike="noStrike" spc="-1">
              <a:solidFill>
                <a:srgbClr val="000000"/>
              </a:solidFill>
              <a:latin typeface="Calibri"/>
            </a:rPr>
            <a:t>10.9 MATERIAS PERTINENTES À EXECUÇÃO DOS SERVIÇO:</a:t>
          </a:r>
          <a:endParaRPr lang="pt-BR" sz="1100" b="0" strike="noStrike" spc="-1">
            <a:latin typeface="Times New Roman"/>
          </a:endParaRPr>
        </a:p>
        <a:p>
          <a:pPr>
            <a:lnSpc>
              <a:spcPct val="100000"/>
            </a:lnSpc>
          </a:pPr>
          <a:br/>
          <a:endParaRPr lang="pt-BR" sz="1100" b="0" strike="noStrike" spc="-1">
            <a:latin typeface="Times New Roman"/>
          </a:endParaRPr>
        </a:p>
        <a:p>
          <a:pPr>
            <a:lnSpc>
              <a:spcPct val="100000"/>
            </a:lnSpc>
          </a:pPr>
          <a:r>
            <a:rPr lang="pt-BR" sz="1100" b="0" strike="noStrike" spc="-1">
              <a:solidFill>
                <a:srgbClr val="000000"/>
              </a:solidFill>
              <a:latin typeface="Calibri"/>
            </a:rPr>
            <a:t>a) cofres reforçados no mínimo para guardar 03 (três) armas em cada unidade;</a:t>
          </a:r>
          <a:endParaRPr lang="pt-BR" sz="1100" b="0" strike="noStrike" spc="-1">
            <a:latin typeface="Times New Roman"/>
          </a:endParaRPr>
        </a:p>
        <a:p>
          <a:pPr>
            <a:lnSpc>
              <a:spcPct val="100000"/>
            </a:lnSpc>
          </a:pPr>
          <a:r>
            <a:rPr lang="pt-BR" sz="1100" b="0" strike="noStrike" spc="-1">
              <a:solidFill>
                <a:srgbClr val="000000"/>
              </a:solidFill>
              <a:latin typeface="Calibri"/>
            </a:rPr>
            <a:t>b) 01 revolver calibre 38, para cada posto contratado e 6(seis) munições de reserva para cada unidade da capital/interior; </a:t>
          </a:r>
          <a:endParaRPr lang="pt-BR" sz="1100" b="0" strike="noStrike" spc="-1">
            <a:latin typeface="Times New Roman"/>
          </a:endParaRPr>
        </a:p>
        <a:p>
          <a:pPr>
            <a:lnSpc>
              <a:spcPct val="100000"/>
            </a:lnSpc>
          </a:pPr>
          <a:r>
            <a:rPr lang="pt-BR" sz="1100" b="0" strike="noStrike" spc="-1">
              <a:solidFill>
                <a:srgbClr val="000000"/>
              </a:solidFill>
              <a:latin typeface="Calibri"/>
            </a:rPr>
            <a:t>c) 30 (trinta) rádios portáreis tipo HT, convencional que atenda à distância de 01 (um) KM. Que serão distribuídos de acordo com as necessidades;</a:t>
          </a:r>
          <a:endParaRPr lang="pt-BR" sz="1100" b="0" strike="noStrike" spc="-1">
            <a:latin typeface="Times New Roman"/>
          </a:endParaRPr>
        </a:p>
        <a:p>
          <a:pPr>
            <a:lnSpc>
              <a:spcPct val="100000"/>
            </a:lnSpc>
          </a:pPr>
          <a:r>
            <a:rPr lang="pt-BR" sz="1100" b="0" strike="noStrike" spc="-1">
              <a:solidFill>
                <a:srgbClr val="000000"/>
              </a:solidFill>
              <a:latin typeface="Calibri"/>
            </a:rPr>
            <a:t>d) algemas, (quarenta) tonfas e livros de ocorrência em cada unidade, </a:t>
          </a:r>
          <a:endParaRPr lang="pt-BR" sz="1100" b="0" strike="noStrike" spc="-1">
            <a:latin typeface="Times New Roman"/>
          </a:endParaRPr>
        </a:p>
        <a:p>
          <a:pPr>
            <a:lnSpc>
              <a:spcPct val="100000"/>
            </a:lnSpc>
          </a:pPr>
          <a:r>
            <a:rPr lang="pt-BR" sz="1100" b="0" strike="noStrike" spc="-1">
              <a:solidFill>
                <a:srgbClr val="000000"/>
              </a:solidFill>
              <a:latin typeface="Calibri"/>
            </a:rPr>
            <a:t>e) 1 (uma) lanternas de recarga elétrica em cada unidade do interior e (4) na capital;</a:t>
          </a:r>
          <a:endParaRPr lang="pt-BR" sz="1100" b="0" strike="noStrike" spc="-1">
            <a:latin typeface="Times New Roman"/>
          </a:endParaRPr>
        </a:p>
        <a:p>
          <a:pPr>
            <a:lnSpc>
              <a:spcPct val="100000"/>
            </a:lnSpc>
          </a:pPr>
          <a:r>
            <a:rPr lang="pt-BR" sz="1100" b="0" strike="noStrike" spc="-1">
              <a:solidFill>
                <a:srgbClr val="000000"/>
              </a:solidFill>
              <a:latin typeface="Calibri"/>
            </a:rPr>
            <a:t>f) coletes a prova de bala para cada posto armado com uma capa reserva , bem como portar cinto com coldre e baleiro, distintivo tipo broche, porta tonfa, apito, cordão de apito. </a:t>
          </a:r>
          <a:endParaRPr lang="pt-BR" sz="1100" b="0" strike="noStrike" spc="-1">
            <a:latin typeface="Times New Roman"/>
          </a:endParaRPr>
        </a:p>
        <a:p>
          <a:pPr>
            <a:lnSpc>
              <a:spcPct val="100000"/>
            </a:lnSpc>
          </a:pPr>
          <a:r>
            <a:rPr lang="pt-BR" sz="1100" b="0" strike="noStrike" spc="-1">
              <a:solidFill>
                <a:srgbClr val="000000"/>
              </a:solidFill>
              <a:latin typeface="Calibri"/>
            </a:rPr>
            <a:t>A Contratada não poderá repassar os custos de qualquer um desses itens de uniforme e equipamentos aos seus empregados;</a:t>
          </a:r>
          <a:endParaRPr lang="pt-BR" sz="1100" b="0" strike="noStrike" spc="-1">
            <a:latin typeface="Times New Roman"/>
          </a:endParaRPr>
        </a:p>
        <a:p>
          <a:pPr>
            <a:lnSpc>
              <a:spcPct val="100000"/>
            </a:lnSpc>
          </a:pPr>
          <a:r>
            <a:rPr lang="pt-BR" sz="1100" b="0" strike="noStrike" spc="-1">
              <a:solidFill>
                <a:srgbClr val="000000"/>
              </a:solidFill>
              <a:latin typeface="Calibri"/>
            </a:rPr>
            <a:t>g) EPI obrigatório: Colete Nível IIA, e Bota Tática, com troca anual.</a:t>
          </a:r>
          <a:endParaRPr lang="pt-BR" sz="1100" b="0" strike="noStrike" spc="-1">
            <a:latin typeface="Times New Roman"/>
          </a:endParaRPr>
        </a:p>
        <a:p>
          <a:pPr>
            <a:lnSpc>
              <a:spcPct val="100000"/>
            </a:lnSpc>
          </a:pPr>
          <a:endParaRPr lang="pt-BR"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111960</xdr:colOff>
      <xdr:row>141</xdr:row>
      <xdr:rowOff>392040</xdr:rowOff>
    </xdr:from>
    <xdr:to>
      <xdr:col>24</xdr:col>
      <xdr:colOff>150480</xdr:colOff>
      <xdr:row>158</xdr:row>
      <xdr:rowOff>402840</xdr:rowOff>
    </xdr:to>
    <xdr:sp macro="" textlink="">
      <xdr:nvSpPr>
        <xdr:cNvPr id="3" name="CustomShape 1">
          <a:extLst>
            <a:ext uri="{FF2B5EF4-FFF2-40B4-BE49-F238E27FC236}">
              <a16:creationId xmlns:a16="http://schemas.microsoft.com/office/drawing/2014/main" id="{00000000-0008-0000-0700-000003000000}"/>
            </a:ext>
          </a:extLst>
        </xdr:cNvPr>
        <xdr:cNvSpPr/>
      </xdr:nvSpPr>
      <xdr:spPr>
        <a:xfrm>
          <a:off x="18440280" y="34500960"/>
          <a:ext cx="5833800" cy="391608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pt-BR" sz="1100" b="0" strike="noStrike" spc="-1">
              <a:solidFill>
                <a:srgbClr val="000000"/>
              </a:solidFill>
              <a:latin typeface="Calibri"/>
            </a:rPr>
            <a:t>10.9 MATERIAS PERTINENTES À EXECUÇÃO DOS SERVIÇO:</a:t>
          </a:r>
          <a:endParaRPr lang="pt-BR" sz="1100" b="0" strike="noStrike" spc="-1">
            <a:latin typeface="Times New Roman"/>
          </a:endParaRPr>
        </a:p>
        <a:p>
          <a:pPr>
            <a:lnSpc>
              <a:spcPct val="100000"/>
            </a:lnSpc>
          </a:pPr>
          <a:br/>
          <a:endParaRPr lang="pt-BR" sz="1100" b="0" strike="noStrike" spc="-1">
            <a:latin typeface="Times New Roman"/>
          </a:endParaRPr>
        </a:p>
        <a:p>
          <a:pPr>
            <a:lnSpc>
              <a:spcPct val="100000"/>
            </a:lnSpc>
          </a:pPr>
          <a:r>
            <a:rPr lang="pt-BR" sz="1100" b="0" strike="noStrike" spc="-1">
              <a:solidFill>
                <a:srgbClr val="000000"/>
              </a:solidFill>
              <a:latin typeface="Calibri"/>
            </a:rPr>
            <a:t>a) cofres reforçados no mínimo para guardar 03 (três) armas em cada unidade;</a:t>
          </a:r>
          <a:endParaRPr lang="pt-BR" sz="1100" b="0" strike="noStrike" spc="-1">
            <a:latin typeface="Times New Roman"/>
          </a:endParaRPr>
        </a:p>
        <a:p>
          <a:pPr>
            <a:lnSpc>
              <a:spcPct val="100000"/>
            </a:lnSpc>
          </a:pPr>
          <a:r>
            <a:rPr lang="pt-BR" sz="1100" b="0" strike="noStrike" spc="-1">
              <a:solidFill>
                <a:srgbClr val="000000"/>
              </a:solidFill>
              <a:latin typeface="Calibri"/>
            </a:rPr>
            <a:t>b) 01 revolver calibre 38, para cada posto contratado e 6(seis) munições de reserva para cada unidade da capital/interior; </a:t>
          </a:r>
          <a:endParaRPr lang="pt-BR" sz="1100" b="0" strike="noStrike" spc="-1">
            <a:latin typeface="Times New Roman"/>
          </a:endParaRPr>
        </a:p>
        <a:p>
          <a:pPr>
            <a:lnSpc>
              <a:spcPct val="100000"/>
            </a:lnSpc>
          </a:pPr>
          <a:r>
            <a:rPr lang="pt-BR" sz="1100" b="0" strike="noStrike" spc="-1">
              <a:solidFill>
                <a:srgbClr val="000000"/>
              </a:solidFill>
              <a:latin typeface="Calibri"/>
            </a:rPr>
            <a:t>c) 30 (trinta) rádios portáreis tipo HT, convencional que atenda à distância de 01 (um) KM. Que serão distribuídos de acordo com as necessidades;</a:t>
          </a:r>
          <a:endParaRPr lang="pt-BR" sz="1100" b="0" strike="noStrike" spc="-1">
            <a:latin typeface="Times New Roman"/>
          </a:endParaRPr>
        </a:p>
        <a:p>
          <a:pPr>
            <a:lnSpc>
              <a:spcPct val="100000"/>
            </a:lnSpc>
          </a:pPr>
          <a:r>
            <a:rPr lang="pt-BR" sz="1100" b="0" strike="noStrike" spc="-1">
              <a:solidFill>
                <a:srgbClr val="000000"/>
              </a:solidFill>
              <a:latin typeface="Calibri"/>
            </a:rPr>
            <a:t>d) algemas, (quarenta) tonfas e livros de ocorrência em cada unidade, </a:t>
          </a:r>
          <a:endParaRPr lang="pt-BR" sz="1100" b="0" strike="noStrike" spc="-1">
            <a:latin typeface="Times New Roman"/>
          </a:endParaRPr>
        </a:p>
        <a:p>
          <a:pPr>
            <a:lnSpc>
              <a:spcPct val="100000"/>
            </a:lnSpc>
          </a:pPr>
          <a:r>
            <a:rPr lang="pt-BR" sz="1100" b="0" strike="noStrike" spc="-1">
              <a:solidFill>
                <a:srgbClr val="000000"/>
              </a:solidFill>
              <a:latin typeface="Calibri"/>
            </a:rPr>
            <a:t>e) 1 (uma) lanternas de recarga elétrica em cada unidade do interior e (4) na capital;</a:t>
          </a:r>
          <a:endParaRPr lang="pt-BR" sz="1100" b="0" strike="noStrike" spc="-1">
            <a:latin typeface="Times New Roman"/>
          </a:endParaRPr>
        </a:p>
        <a:p>
          <a:pPr>
            <a:lnSpc>
              <a:spcPct val="100000"/>
            </a:lnSpc>
          </a:pPr>
          <a:r>
            <a:rPr lang="pt-BR" sz="1100" b="0" strike="noStrike" spc="-1">
              <a:solidFill>
                <a:srgbClr val="000000"/>
              </a:solidFill>
              <a:latin typeface="Calibri"/>
            </a:rPr>
            <a:t>f) coletes a prova de bala para cada posto armado com uma capa reserva , bem como portar cinto com coldre e baleiro, distintivo tipo broche, porta tonfa, apito, cordão de apito. </a:t>
          </a:r>
          <a:endParaRPr lang="pt-BR" sz="1100" b="0" strike="noStrike" spc="-1">
            <a:latin typeface="Times New Roman"/>
          </a:endParaRPr>
        </a:p>
        <a:p>
          <a:pPr>
            <a:lnSpc>
              <a:spcPct val="100000"/>
            </a:lnSpc>
          </a:pPr>
          <a:r>
            <a:rPr lang="pt-BR" sz="1100" b="0" strike="noStrike" spc="-1">
              <a:solidFill>
                <a:srgbClr val="000000"/>
              </a:solidFill>
              <a:latin typeface="Calibri"/>
            </a:rPr>
            <a:t>A Contratada não poderá repassar os custos de qualquer um desses itens de uniforme e equipamentos aos seus empregados;</a:t>
          </a:r>
          <a:endParaRPr lang="pt-BR" sz="1100" b="0" strike="noStrike" spc="-1">
            <a:latin typeface="Times New Roman"/>
          </a:endParaRPr>
        </a:p>
        <a:p>
          <a:pPr>
            <a:lnSpc>
              <a:spcPct val="100000"/>
            </a:lnSpc>
          </a:pPr>
          <a:r>
            <a:rPr lang="pt-BR" sz="1100" b="0" strike="noStrike" spc="-1">
              <a:solidFill>
                <a:srgbClr val="000000"/>
              </a:solidFill>
              <a:latin typeface="Calibri"/>
            </a:rPr>
            <a:t>g) EPI obrigatório: Colete Nível IIA, e Bota Tática, com troca anual.</a:t>
          </a:r>
          <a:endParaRPr lang="pt-BR" sz="1100" b="0" strike="noStrike" spc="-1">
            <a:latin typeface="Times New Roman"/>
          </a:endParaRPr>
        </a:p>
        <a:p>
          <a:pPr>
            <a:lnSpc>
              <a:spcPct val="100000"/>
            </a:lnSpc>
          </a:pPr>
          <a:endParaRPr lang="pt-BR" sz="11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600120</xdr:colOff>
      <xdr:row>21</xdr:row>
      <xdr:rowOff>104760</xdr:rowOff>
    </xdr:from>
    <xdr:to>
      <xdr:col>8</xdr:col>
      <xdr:colOff>241200</xdr:colOff>
      <xdr:row>35</xdr:row>
      <xdr:rowOff>38160</xdr:rowOff>
    </xdr:to>
    <xdr:sp macro="" textlink="">
      <xdr:nvSpPr>
        <xdr:cNvPr id="4" name="CustomShape 1">
          <a:extLst>
            <a:ext uri="{FF2B5EF4-FFF2-40B4-BE49-F238E27FC236}">
              <a16:creationId xmlns:a16="http://schemas.microsoft.com/office/drawing/2014/main" id="{00000000-0008-0000-0800-000004000000}"/>
            </a:ext>
          </a:extLst>
        </xdr:cNvPr>
        <xdr:cNvSpPr/>
      </xdr:nvSpPr>
      <xdr:spPr>
        <a:xfrm>
          <a:off x="7603920" y="4524120"/>
          <a:ext cx="4104000" cy="282924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pt-BR" sz="1100" b="0" strike="noStrike" spc="-1">
              <a:solidFill>
                <a:srgbClr val="000000"/>
              </a:solidFill>
              <a:latin typeface="Calibri"/>
            </a:rPr>
            <a:t>OBS.: com relação a CCT</a:t>
          </a:r>
          <a:endParaRPr lang="pt-BR" sz="1100" b="0" strike="noStrike" spc="-1">
            <a:latin typeface="Times New Roman"/>
          </a:endParaRPr>
        </a:p>
        <a:p>
          <a:pPr>
            <a:lnSpc>
              <a:spcPct val="100000"/>
            </a:lnSpc>
          </a:pPr>
          <a:r>
            <a:rPr lang="pt-BR" sz="1100" b="0" strike="noStrike" spc="-1">
              <a:solidFill>
                <a:srgbClr val="000000"/>
              </a:solidFill>
              <a:latin typeface="Calibri"/>
            </a:rPr>
            <a:t>Nos termos do Art. 6º da IN SEGES/MP n. 5/2017, a administração do TRT da 5ª Região não se vincula a quaisquer cláusulas de Convenções Coletivas que estabeleçam direitos não previstos em lei, tais como valores ou índices obrigatórios de encargos sociais, tais como, por exemplo, a cláusula 49ª da CCT registrada no MTE sob o número BA000002/2019.</a:t>
          </a:r>
          <a:endParaRPr lang="pt-BR" sz="1100" b="0" strike="noStrike" spc="-1">
            <a:latin typeface="Times New Roman"/>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hyperlink" Target="https://groups.google.com/forum/"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50"/>
  <sheetViews>
    <sheetView showGridLines="0" topLeftCell="A115" zoomScale="60" zoomScaleNormal="60" workbookViewId="0">
      <selection activeCell="B46" sqref="B46"/>
    </sheetView>
  </sheetViews>
  <sheetFormatPr defaultColWidth="9.140625" defaultRowHeight="15" x14ac:dyDescent="0.25"/>
  <cols>
    <col min="1" max="1" width="32.140625" style="15" customWidth="1"/>
    <col min="2" max="2" width="19.28515625" style="15" customWidth="1"/>
    <col min="3" max="4" width="22.28515625" style="15" customWidth="1"/>
    <col min="5" max="5" width="18.5703125" style="15" customWidth="1"/>
    <col min="6" max="6" width="17.7109375" style="15" customWidth="1"/>
    <col min="7" max="7" width="15.85546875" style="15" customWidth="1"/>
    <col min="8" max="1024" width="9.140625" style="15"/>
  </cols>
  <sheetData>
    <row r="1" spans="1:8" ht="24" customHeight="1" x14ac:dyDescent="0.35">
      <c r="A1" s="14" t="s">
        <v>0</v>
      </c>
      <c r="B1" s="14"/>
      <c r="C1" s="14"/>
      <c r="D1" s="14"/>
      <c r="E1" s="14"/>
      <c r="F1" s="14"/>
      <c r="G1" s="14"/>
      <c r="H1" s="14"/>
    </row>
    <row r="2" spans="1:8" ht="24" customHeight="1" x14ac:dyDescent="0.35">
      <c r="A2" s="14" t="s">
        <v>1</v>
      </c>
      <c r="B2" s="14"/>
      <c r="C2" s="14"/>
      <c r="D2" s="14"/>
      <c r="E2" s="14"/>
      <c r="F2" s="14"/>
      <c r="G2" s="14"/>
      <c r="H2" s="14"/>
    </row>
    <row r="3" spans="1:8" ht="177" customHeight="1" x14ac:dyDescent="0.25">
      <c r="A3" s="13" t="s">
        <v>2</v>
      </c>
      <c r="B3" s="13"/>
      <c r="C3" s="13"/>
      <c r="D3" s="13"/>
      <c r="E3" s="13"/>
      <c r="F3" s="13"/>
      <c r="G3" s="13"/>
      <c r="H3" s="13"/>
    </row>
    <row r="4" spans="1:8" ht="24" customHeight="1" x14ac:dyDescent="0.25">
      <c r="A4" s="16"/>
      <c r="B4" s="16"/>
      <c r="C4" s="16"/>
      <c r="D4" s="16"/>
      <c r="E4" s="16"/>
      <c r="F4" s="16"/>
      <c r="G4" s="17"/>
      <c r="H4" s="17"/>
    </row>
    <row r="5" spans="1:8" ht="24" customHeight="1" x14ac:dyDescent="0.25">
      <c r="A5" s="12" t="s">
        <v>3</v>
      </c>
      <c r="B5" s="12"/>
      <c r="C5" s="12"/>
      <c r="D5" s="12"/>
      <c r="E5" s="12"/>
      <c r="F5" s="12"/>
      <c r="G5" s="12"/>
      <c r="H5" s="12"/>
    </row>
    <row r="6" spans="1:8" ht="40.5" customHeight="1" x14ac:dyDescent="0.25">
      <c r="A6" s="13" t="s">
        <v>4</v>
      </c>
      <c r="B6" s="13"/>
      <c r="C6" s="13"/>
      <c r="D6" s="13"/>
      <c r="E6" s="13"/>
      <c r="F6" s="13"/>
      <c r="G6" s="13"/>
      <c r="H6" s="13"/>
    </row>
    <row r="7" spans="1:8" ht="24" customHeight="1" x14ac:dyDescent="0.25">
      <c r="A7" s="16"/>
      <c r="B7" s="16"/>
      <c r="C7" s="16"/>
      <c r="D7" s="16"/>
      <c r="E7" s="16"/>
      <c r="F7" s="16"/>
      <c r="G7" s="17"/>
      <c r="H7" s="17"/>
    </row>
    <row r="8" spans="1:8" ht="24" customHeight="1" x14ac:dyDescent="0.25">
      <c r="A8" s="11" t="s">
        <v>5</v>
      </c>
      <c r="B8" s="11"/>
      <c r="C8" s="11"/>
      <c r="D8" s="11"/>
      <c r="E8" s="11"/>
      <c r="F8" s="11"/>
      <c r="G8" s="11"/>
      <c r="H8" s="11"/>
    </row>
    <row r="9" spans="1:8" ht="33.75" customHeight="1" x14ac:dyDescent="0.25">
      <c r="A9" s="13" t="s">
        <v>6</v>
      </c>
      <c r="B9" s="13"/>
      <c r="C9" s="13"/>
      <c r="D9" s="13"/>
      <c r="E9" s="13"/>
      <c r="F9" s="13"/>
      <c r="G9" s="13"/>
      <c r="H9" s="13"/>
    </row>
    <row r="11" spans="1:8" ht="24" customHeight="1" x14ac:dyDescent="0.25">
      <c r="A11" s="10" t="s">
        <v>5</v>
      </c>
      <c r="B11" s="10"/>
    </row>
    <row r="12" spans="1:8" ht="24" customHeight="1" x14ac:dyDescent="0.25">
      <c r="A12" s="19" t="s">
        <v>7</v>
      </c>
      <c r="B12" s="20"/>
    </row>
    <row r="13" spans="1:8" ht="24" customHeight="1" x14ac:dyDescent="0.25">
      <c r="A13" s="21" t="s">
        <v>8</v>
      </c>
      <c r="B13" s="22"/>
    </row>
    <row r="15" spans="1:8" ht="24" customHeight="1" x14ac:dyDescent="0.25">
      <c r="A15" s="11" t="s">
        <v>9</v>
      </c>
      <c r="B15" s="11"/>
      <c r="C15" s="11"/>
      <c r="D15" s="11"/>
      <c r="E15" s="11"/>
      <c r="F15" s="11"/>
      <c r="G15" s="11"/>
      <c r="H15" s="11"/>
    </row>
    <row r="16" spans="1:8" ht="85.5" customHeight="1" x14ac:dyDescent="0.25">
      <c r="A16" s="13" t="s">
        <v>10</v>
      </c>
      <c r="B16" s="13"/>
      <c r="C16" s="13"/>
      <c r="D16" s="13"/>
      <c r="E16" s="13"/>
      <c r="F16" s="13"/>
      <c r="G16" s="13"/>
      <c r="H16" s="13"/>
    </row>
    <row r="17" spans="1:8" ht="24" customHeight="1" x14ac:dyDescent="0.25">
      <c r="A17" s="16"/>
      <c r="B17" s="16"/>
      <c r="C17" s="16"/>
      <c r="D17" s="16"/>
      <c r="E17" s="16"/>
      <c r="F17" s="16"/>
    </row>
    <row r="18" spans="1:8" ht="24" customHeight="1" x14ac:dyDescent="0.25">
      <c r="A18" s="10" t="s">
        <v>9</v>
      </c>
      <c r="B18" s="10"/>
      <c r="C18" s="10"/>
      <c r="D18" s="10"/>
    </row>
    <row r="19" spans="1:8" ht="24" customHeight="1" x14ac:dyDescent="0.25">
      <c r="A19" s="23" t="s">
        <v>11</v>
      </c>
      <c r="B19" s="24" t="s">
        <v>12</v>
      </c>
      <c r="C19" s="24" t="s">
        <v>13</v>
      </c>
      <c r="D19" s="25" t="s">
        <v>14</v>
      </c>
    </row>
    <row r="20" spans="1:8" ht="24" customHeight="1" x14ac:dyDescent="0.25">
      <c r="A20" s="26" t="s">
        <v>7</v>
      </c>
      <c r="B20" s="27">
        <f>B12</f>
        <v>0</v>
      </c>
      <c r="C20" s="28"/>
      <c r="D20" s="29">
        <f>B20*C20</f>
        <v>0</v>
      </c>
      <c r="E20" s="17"/>
      <c r="G20" s="17"/>
      <c r="H20" s="17"/>
    </row>
    <row r="21" spans="1:8" ht="24" customHeight="1" x14ac:dyDescent="0.25">
      <c r="A21" s="21" t="s">
        <v>8</v>
      </c>
      <c r="B21" s="30">
        <f>B13</f>
        <v>0</v>
      </c>
      <c r="C21" s="31"/>
      <c r="D21" s="32">
        <f>B21*C21</f>
        <v>0</v>
      </c>
      <c r="E21" s="17"/>
      <c r="G21" s="17"/>
      <c r="H21" s="17"/>
    </row>
    <row r="23" spans="1:8" ht="24" customHeight="1" x14ac:dyDescent="0.25">
      <c r="A23" s="11" t="s">
        <v>15</v>
      </c>
      <c r="B23" s="11"/>
      <c r="C23" s="11"/>
      <c r="D23" s="11"/>
      <c r="E23" s="11"/>
      <c r="F23" s="11"/>
      <c r="G23" s="11"/>
      <c r="H23" s="11"/>
    </row>
    <row r="24" spans="1:8" ht="72" customHeight="1" x14ac:dyDescent="0.25">
      <c r="A24" s="13" t="s">
        <v>16</v>
      </c>
      <c r="B24" s="13"/>
      <c r="C24" s="13"/>
      <c r="D24" s="13"/>
      <c r="E24" s="13"/>
      <c r="F24" s="13"/>
      <c r="G24" s="13"/>
      <c r="H24" s="13"/>
    </row>
    <row r="25" spans="1:8" ht="24" customHeight="1" x14ac:dyDescent="0.25">
      <c r="A25" s="17"/>
      <c r="B25" s="17"/>
      <c r="C25" s="17"/>
      <c r="D25" s="17"/>
      <c r="F25" s="17"/>
    </row>
    <row r="26" spans="1:8" ht="24" customHeight="1" x14ac:dyDescent="0.25">
      <c r="A26" s="10" t="s">
        <v>17</v>
      </c>
      <c r="B26" s="10"/>
      <c r="C26" s="10"/>
      <c r="D26" s="10"/>
    </row>
    <row r="27" spans="1:8" ht="24" customHeight="1" x14ac:dyDescent="0.25">
      <c r="A27" s="23" t="s">
        <v>11</v>
      </c>
      <c r="B27" s="24" t="s">
        <v>12</v>
      </c>
      <c r="C27" s="24" t="s">
        <v>13</v>
      </c>
      <c r="D27" s="25" t="s">
        <v>18</v>
      </c>
    </row>
    <row r="28" spans="1:8" ht="24" customHeight="1" x14ac:dyDescent="0.25">
      <c r="A28" s="26" t="s">
        <v>19</v>
      </c>
      <c r="B28" s="27"/>
      <c r="C28" s="33"/>
      <c r="D28" s="34">
        <f t="shared" ref="D28:D33" si="0">B28*C28</f>
        <v>0</v>
      </c>
      <c r="F28" s="35" t="s">
        <v>20</v>
      </c>
    </row>
    <row r="29" spans="1:8" ht="24" customHeight="1" x14ac:dyDescent="0.25">
      <c r="A29" s="36" t="s">
        <v>21</v>
      </c>
      <c r="B29" s="37"/>
      <c r="C29" s="38">
        <f>C28</f>
        <v>0</v>
      </c>
      <c r="D29" s="39">
        <f t="shared" si="0"/>
        <v>0</v>
      </c>
      <c r="F29" s="35" t="s">
        <v>22</v>
      </c>
    </row>
    <row r="30" spans="1:8" ht="24" customHeight="1" x14ac:dyDescent="0.25">
      <c r="A30" s="40" t="s">
        <v>23</v>
      </c>
      <c r="B30" s="41"/>
      <c r="C30" s="42">
        <f>C29</f>
        <v>0</v>
      </c>
      <c r="D30" s="43">
        <f t="shared" si="0"/>
        <v>0</v>
      </c>
      <c r="F30" s="35" t="s">
        <v>24</v>
      </c>
    </row>
    <row r="31" spans="1:8" ht="24" customHeight="1" x14ac:dyDescent="0.25">
      <c r="A31" s="26" t="s">
        <v>25</v>
      </c>
      <c r="B31" s="27"/>
      <c r="C31" s="33">
        <f>C30</f>
        <v>0</v>
      </c>
      <c r="D31" s="34">
        <f t="shared" si="0"/>
        <v>0</v>
      </c>
    </row>
    <row r="32" spans="1:8" ht="24" customHeight="1" x14ac:dyDescent="0.25">
      <c r="A32" s="36" t="s">
        <v>26</v>
      </c>
      <c r="B32" s="37"/>
      <c r="C32" s="38">
        <f>C31</f>
        <v>0</v>
      </c>
      <c r="D32" s="39">
        <f t="shared" si="0"/>
        <v>0</v>
      </c>
    </row>
    <row r="33" spans="1:8" ht="24" customHeight="1" x14ac:dyDescent="0.25">
      <c r="A33" s="21" t="s">
        <v>27</v>
      </c>
      <c r="B33" s="30"/>
      <c r="C33" s="44">
        <f>C32</f>
        <v>0</v>
      </c>
      <c r="D33" s="22">
        <f t="shared" si="0"/>
        <v>0</v>
      </c>
      <c r="G33" s="17"/>
      <c r="H33" s="17"/>
    </row>
    <row r="36" spans="1:8" ht="24" customHeight="1" x14ac:dyDescent="0.25">
      <c r="A36" s="11" t="s">
        <v>28</v>
      </c>
      <c r="B36" s="11"/>
      <c r="C36" s="11"/>
      <c r="D36" s="11"/>
      <c r="E36" s="11"/>
      <c r="F36" s="11"/>
      <c r="G36" s="11"/>
      <c r="H36" s="11"/>
    </row>
    <row r="37" spans="1:8" ht="69.75" customHeight="1" x14ac:dyDescent="0.25">
      <c r="A37" s="13" t="s">
        <v>29</v>
      </c>
      <c r="B37" s="13"/>
      <c r="C37" s="13"/>
      <c r="D37" s="13"/>
      <c r="E37" s="13"/>
      <c r="F37" s="13"/>
      <c r="G37" s="13"/>
      <c r="H37" s="13"/>
    </row>
    <row r="39" spans="1:8" ht="24" customHeight="1" x14ac:dyDescent="0.25">
      <c r="A39" s="10" t="s">
        <v>28</v>
      </c>
      <c r="B39" s="10"/>
      <c r="C39" s="10"/>
      <c r="D39" s="10"/>
      <c r="E39" s="10"/>
    </row>
    <row r="40" spans="1:8" ht="24" customHeight="1" x14ac:dyDescent="0.25">
      <c r="A40" s="23" t="s">
        <v>11</v>
      </c>
      <c r="B40" s="24" t="s">
        <v>30</v>
      </c>
      <c r="C40" s="24" t="s">
        <v>31</v>
      </c>
      <c r="D40" s="24" t="s">
        <v>13</v>
      </c>
      <c r="E40" s="25" t="s">
        <v>18</v>
      </c>
    </row>
    <row r="41" spans="1:8" ht="24" customHeight="1" x14ac:dyDescent="0.25">
      <c r="A41" s="26" t="s">
        <v>21</v>
      </c>
      <c r="B41" s="27">
        <f>B12+D29</f>
        <v>0</v>
      </c>
      <c r="C41" s="28">
        <f>7/12</f>
        <v>0.58333333333333337</v>
      </c>
      <c r="D41" s="33"/>
      <c r="E41" s="34">
        <f>B41*C41*D41</f>
        <v>0</v>
      </c>
    </row>
    <row r="42" spans="1:8" ht="24" customHeight="1" x14ac:dyDescent="0.25">
      <c r="A42" s="21" t="s">
        <v>26</v>
      </c>
      <c r="B42" s="30">
        <f>B13+D32</f>
        <v>0</v>
      </c>
      <c r="C42" s="31">
        <f>7/12</f>
        <v>0.58333333333333337</v>
      </c>
      <c r="D42" s="44">
        <f>D41</f>
        <v>0</v>
      </c>
      <c r="E42" s="22">
        <f>B42*C42*D42</f>
        <v>0</v>
      </c>
    </row>
    <row r="43" spans="1:8" ht="24" customHeight="1" x14ac:dyDescent="0.25">
      <c r="A43" s="10" t="s">
        <v>32</v>
      </c>
      <c r="B43" s="10"/>
      <c r="C43" s="10"/>
      <c r="D43" s="10"/>
      <c r="E43" s="10"/>
    </row>
    <row r="44" spans="1:8" ht="24" customHeight="1" x14ac:dyDescent="0.25">
      <c r="A44" s="23" t="s">
        <v>11</v>
      </c>
      <c r="B44" s="24" t="s">
        <v>30</v>
      </c>
      <c r="C44" s="24" t="s">
        <v>31</v>
      </c>
      <c r="D44" s="24" t="s">
        <v>13</v>
      </c>
      <c r="E44" s="25" t="s">
        <v>18</v>
      </c>
    </row>
    <row r="45" spans="1:8" ht="24" customHeight="1" x14ac:dyDescent="0.25">
      <c r="A45" s="26" t="s">
        <v>21</v>
      </c>
      <c r="B45" s="27">
        <f>B12+D29</f>
        <v>0</v>
      </c>
      <c r="C45" s="28">
        <f>1/12</f>
        <v>8.3333333333333329E-2</v>
      </c>
      <c r="D45" s="33">
        <f>1+D41</f>
        <v>1</v>
      </c>
      <c r="E45" s="34">
        <f>B45*C45*D45</f>
        <v>0</v>
      </c>
    </row>
    <row r="46" spans="1:8" ht="24" customHeight="1" x14ac:dyDescent="0.25">
      <c r="A46" s="21" t="s">
        <v>26</v>
      </c>
      <c r="B46" s="30">
        <f>B13+D32</f>
        <v>0</v>
      </c>
      <c r="C46" s="31">
        <f>1/12</f>
        <v>8.3333333333333329E-2</v>
      </c>
      <c r="D46" s="44">
        <f>1+D42</f>
        <v>1</v>
      </c>
      <c r="E46" s="22">
        <f>B46*C46*D46</f>
        <v>0</v>
      </c>
    </row>
    <row r="47" spans="1:8" ht="33.75" customHeight="1" x14ac:dyDescent="0.25"/>
    <row r="48" spans="1:8" ht="24" customHeight="1" x14ac:dyDescent="0.25">
      <c r="A48" s="10" t="s">
        <v>33</v>
      </c>
      <c r="B48" s="10"/>
      <c r="C48" s="10"/>
      <c r="D48" s="10"/>
    </row>
    <row r="49" spans="1:8" ht="30.75" customHeight="1" x14ac:dyDescent="0.25">
      <c r="A49" s="23" t="s">
        <v>11</v>
      </c>
      <c r="B49" s="24" t="s">
        <v>34</v>
      </c>
      <c r="C49" s="45" t="s">
        <v>35</v>
      </c>
      <c r="D49" s="25" t="s">
        <v>18</v>
      </c>
    </row>
    <row r="50" spans="1:8" ht="24" customHeight="1" x14ac:dyDescent="0.25">
      <c r="A50" s="26" t="s">
        <v>21</v>
      </c>
      <c r="B50" s="27">
        <f>E41</f>
        <v>0</v>
      </c>
      <c r="C50" s="27">
        <f>E45</f>
        <v>0</v>
      </c>
      <c r="D50" s="34">
        <f>SUM(B50:C50)</f>
        <v>0</v>
      </c>
    </row>
    <row r="51" spans="1:8" ht="24" customHeight="1" x14ac:dyDescent="0.25">
      <c r="A51" s="21" t="s">
        <v>26</v>
      </c>
      <c r="B51" s="30">
        <f>E42</f>
        <v>0</v>
      </c>
      <c r="C51" s="30">
        <f>E46</f>
        <v>0</v>
      </c>
      <c r="D51" s="22">
        <f>SUM(B51:C51)</f>
        <v>0</v>
      </c>
      <c r="G51" s="17"/>
      <c r="H51" s="17"/>
    </row>
    <row r="53" spans="1:8" ht="24" customHeight="1" x14ac:dyDescent="0.25">
      <c r="A53" s="9" t="s">
        <v>36</v>
      </c>
      <c r="B53" s="9"/>
      <c r="C53" s="9"/>
      <c r="D53" s="9"/>
      <c r="E53" s="17"/>
      <c r="F53" s="17"/>
    </row>
    <row r="54" spans="1:8" ht="48" customHeight="1" x14ac:dyDescent="0.25">
      <c r="A54" s="13" t="s">
        <v>37</v>
      </c>
      <c r="B54" s="13"/>
      <c r="C54" s="13"/>
      <c r="D54" s="13"/>
      <c r="E54" s="13"/>
      <c r="F54" s="13"/>
    </row>
    <row r="56" spans="1:8" ht="24" customHeight="1" x14ac:dyDescent="0.25">
      <c r="A56" s="10" t="s">
        <v>36</v>
      </c>
      <c r="B56" s="10"/>
      <c r="C56" s="10"/>
      <c r="D56" s="10"/>
    </row>
    <row r="57" spans="1:8" ht="24" customHeight="1" x14ac:dyDescent="0.25">
      <c r="A57" s="23" t="s">
        <v>11</v>
      </c>
      <c r="B57" s="24" t="s">
        <v>12</v>
      </c>
      <c r="C57" s="24" t="s">
        <v>13</v>
      </c>
      <c r="D57" s="25" t="s">
        <v>18</v>
      </c>
    </row>
    <row r="58" spans="1:8" ht="24" customHeight="1" x14ac:dyDescent="0.25">
      <c r="A58" s="26" t="s">
        <v>19</v>
      </c>
      <c r="B58" s="47"/>
      <c r="C58" s="47"/>
      <c r="D58" s="48"/>
    </row>
    <row r="59" spans="1:8" ht="24" customHeight="1" x14ac:dyDescent="0.25">
      <c r="A59" s="36" t="s">
        <v>21</v>
      </c>
      <c r="B59" s="49"/>
      <c r="C59" s="49"/>
      <c r="D59" s="50"/>
    </row>
    <row r="60" spans="1:8" ht="24" customHeight="1" x14ac:dyDescent="0.25">
      <c r="A60" s="21" t="s">
        <v>38</v>
      </c>
      <c r="B60" s="51"/>
      <c r="C60" s="51"/>
      <c r="D60" s="52"/>
    </row>
    <row r="61" spans="1:8" ht="24" customHeight="1" x14ac:dyDescent="0.25">
      <c r="A61" s="26" t="s">
        <v>25</v>
      </c>
      <c r="B61" s="47"/>
      <c r="C61" s="47"/>
      <c r="D61" s="48"/>
    </row>
    <row r="62" spans="1:8" ht="24" customHeight="1" x14ac:dyDescent="0.25">
      <c r="A62" s="36" t="s">
        <v>26</v>
      </c>
      <c r="B62" s="49"/>
      <c r="C62" s="49"/>
      <c r="D62" s="50"/>
    </row>
    <row r="63" spans="1:8" ht="24" customHeight="1" x14ac:dyDescent="0.25">
      <c r="A63" s="21" t="s">
        <v>27</v>
      </c>
      <c r="B63" s="51"/>
      <c r="C63" s="51"/>
      <c r="D63" s="52"/>
      <c r="H63" s="17"/>
    </row>
    <row r="65" spans="1:8" ht="24" customHeight="1" x14ac:dyDescent="0.25">
      <c r="A65" s="12" t="s">
        <v>3</v>
      </c>
      <c r="B65" s="12"/>
      <c r="C65" s="12"/>
      <c r="D65" s="12"/>
      <c r="E65" s="12"/>
      <c r="F65" s="12"/>
      <c r="G65" s="12"/>
      <c r="H65" s="12"/>
    </row>
    <row r="66" spans="1:8" ht="42" customHeight="1" x14ac:dyDescent="0.25">
      <c r="A66" s="8" t="s">
        <v>39</v>
      </c>
      <c r="B66" s="8"/>
      <c r="C66" s="8"/>
      <c r="D66" s="8"/>
      <c r="E66" s="8"/>
      <c r="F66" s="8"/>
      <c r="G66" s="8"/>
      <c r="H66" s="8"/>
    </row>
    <row r="67" spans="1:8" ht="30.75" customHeight="1" x14ac:dyDescent="0.25"/>
    <row r="68" spans="1:8" ht="24" customHeight="1" x14ac:dyDescent="0.25">
      <c r="A68" s="10" t="s">
        <v>3</v>
      </c>
      <c r="B68" s="10"/>
      <c r="C68" s="10"/>
      <c r="D68" s="10"/>
      <c r="E68" s="10"/>
      <c r="F68" s="10"/>
      <c r="G68" s="10"/>
    </row>
    <row r="69" spans="1:8" ht="47.25" x14ac:dyDescent="0.25">
      <c r="A69" s="53" t="s">
        <v>11</v>
      </c>
      <c r="B69" s="54" t="s">
        <v>40</v>
      </c>
      <c r="C69" s="55" t="s">
        <v>41</v>
      </c>
      <c r="D69" s="55" t="s">
        <v>42</v>
      </c>
      <c r="E69" s="54" t="s">
        <v>34</v>
      </c>
      <c r="F69" s="54" t="s">
        <v>43</v>
      </c>
      <c r="G69" s="56" t="s">
        <v>44</v>
      </c>
    </row>
    <row r="70" spans="1:8" ht="24" customHeight="1" x14ac:dyDescent="0.25">
      <c r="A70" s="26" t="s">
        <v>19</v>
      </c>
      <c r="B70" s="27">
        <f>B12</f>
        <v>0</v>
      </c>
      <c r="C70" s="27">
        <f>D20</f>
        <v>0</v>
      </c>
      <c r="D70" s="27">
        <f t="shared" ref="D70:D75" si="1">D28</f>
        <v>0</v>
      </c>
      <c r="E70" s="47"/>
      <c r="F70" s="57">
        <f t="shared" ref="F70:F75" si="2">D58</f>
        <v>0</v>
      </c>
      <c r="G70" s="34">
        <f t="shared" ref="G70:G75" si="3">SUM(B70:F70)</f>
        <v>0</v>
      </c>
    </row>
    <row r="71" spans="1:8" ht="24" customHeight="1" x14ac:dyDescent="0.25">
      <c r="A71" s="36" t="s">
        <v>21</v>
      </c>
      <c r="B71" s="37">
        <f>B12</f>
        <v>0</v>
      </c>
      <c r="C71" s="37">
        <f>D20</f>
        <v>0</v>
      </c>
      <c r="D71" s="37">
        <f t="shared" si="1"/>
        <v>0</v>
      </c>
      <c r="E71" s="37">
        <f>D50</f>
        <v>0</v>
      </c>
      <c r="F71" s="58">
        <f t="shared" si="2"/>
        <v>0</v>
      </c>
      <c r="G71" s="39">
        <f t="shared" si="3"/>
        <v>0</v>
      </c>
    </row>
    <row r="72" spans="1:8" ht="24" customHeight="1" x14ac:dyDescent="0.25">
      <c r="A72" s="40" t="s">
        <v>38</v>
      </c>
      <c r="B72" s="41">
        <f>B12</f>
        <v>0</v>
      </c>
      <c r="C72" s="41">
        <f>D20</f>
        <v>0</v>
      </c>
      <c r="D72" s="41">
        <f t="shared" si="1"/>
        <v>0</v>
      </c>
      <c r="E72" s="59"/>
      <c r="F72" s="60">
        <f t="shared" si="2"/>
        <v>0</v>
      </c>
      <c r="G72" s="43">
        <f t="shared" si="3"/>
        <v>0</v>
      </c>
    </row>
    <row r="73" spans="1:8" ht="24" customHeight="1" x14ac:dyDescent="0.25">
      <c r="A73" s="26" t="s">
        <v>25</v>
      </c>
      <c r="B73" s="27">
        <f>B13</f>
        <v>0</v>
      </c>
      <c r="C73" s="27">
        <f>D21</f>
        <v>0</v>
      </c>
      <c r="D73" s="27">
        <f t="shared" si="1"/>
        <v>0</v>
      </c>
      <c r="E73" s="47"/>
      <c r="F73" s="57">
        <f t="shared" si="2"/>
        <v>0</v>
      </c>
      <c r="G73" s="34">
        <f t="shared" si="3"/>
        <v>0</v>
      </c>
    </row>
    <row r="74" spans="1:8" ht="24" customHeight="1" x14ac:dyDescent="0.25">
      <c r="A74" s="36" t="s">
        <v>26</v>
      </c>
      <c r="B74" s="37">
        <f>B13</f>
        <v>0</v>
      </c>
      <c r="C74" s="37">
        <f>D21</f>
        <v>0</v>
      </c>
      <c r="D74" s="37">
        <f t="shared" si="1"/>
        <v>0</v>
      </c>
      <c r="E74" s="37">
        <f>D51</f>
        <v>0</v>
      </c>
      <c r="F74" s="58">
        <f t="shared" si="2"/>
        <v>0</v>
      </c>
      <c r="G74" s="39">
        <f t="shared" si="3"/>
        <v>0</v>
      </c>
    </row>
    <row r="75" spans="1:8" ht="24" customHeight="1" x14ac:dyDescent="0.25">
      <c r="A75" s="21" t="s">
        <v>27</v>
      </c>
      <c r="B75" s="30">
        <f>B13</f>
        <v>0</v>
      </c>
      <c r="C75" s="30">
        <f>D21</f>
        <v>0</v>
      </c>
      <c r="D75" s="30">
        <f t="shared" si="1"/>
        <v>0</v>
      </c>
      <c r="E75" s="51"/>
      <c r="F75" s="61">
        <f t="shared" si="2"/>
        <v>0</v>
      </c>
      <c r="G75" s="22">
        <f t="shared" si="3"/>
        <v>0</v>
      </c>
      <c r="H75" s="17"/>
    </row>
    <row r="77" spans="1:8" ht="24" customHeight="1" x14ac:dyDescent="0.25">
      <c r="A77" s="12" t="s">
        <v>45</v>
      </c>
      <c r="B77" s="12"/>
      <c r="C77" s="12"/>
      <c r="D77" s="12"/>
      <c r="E77" s="12"/>
      <c r="F77" s="12"/>
      <c r="G77" s="12"/>
      <c r="H77" s="12"/>
    </row>
    <row r="79" spans="1:8" ht="24" customHeight="1" x14ac:dyDescent="0.25">
      <c r="A79" s="11" t="s">
        <v>46</v>
      </c>
      <c r="B79" s="11"/>
      <c r="C79" s="11"/>
      <c r="D79" s="11"/>
      <c r="E79" s="11"/>
      <c r="F79" s="11"/>
      <c r="G79" s="11"/>
      <c r="H79" s="11"/>
    </row>
    <row r="81" spans="1:5" ht="31.5" customHeight="1" x14ac:dyDescent="0.25">
      <c r="A81" s="7" t="s">
        <v>47</v>
      </c>
      <c r="B81" s="7"/>
      <c r="C81" s="7"/>
      <c r="D81" s="7"/>
      <c r="E81" s="63"/>
    </row>
    <row r="82" spans="1:5" ht="31.5" x14ac:dyDescent="0.25">
      <c r="A82" s="64" t="s">
        <v>11</v>
      </c>
      <c r="B82" s="65" t="s">
        <v>12</v>
      </c>
      <c r="C82" s="66" t="s">
        <v>48</v>
      </c>
      <c r="D82" s="67" t="s">
        <v>18</v>
      </c>
    </row>
    <row r="83" spans="1:5" ht="24" customHeight="1" x14ac:dyDescent="0.25">
      <c r="A83" s="26" t="s">
        <v>19</v>
      </c>
      <c r="B83" s="27">
        <f t="shared" ref="B83:B88" si="4">G70</f>
        <v>0</v>
      </c>
      <c r="C83" s="68">
        <f t="shared" ref="C83:C88" si="5">1/12</f>
        <v>8.3333333333333329E-2</v>
      </c>
      <c r="D83" s="34">
        <f t="shared" ref="D83:D88" si="6">B83*C83</f>
        <v>0</v>
      </c>
    </row>
    <row r="84" spans="1:5" ht="24" customHeight="1" x14ac:dyDescent="0.25">
      <c r="A84" s="36" t="s">
        <v>21</v>
      </c>
      <c r="B84" s="37">
        <f t="shared" si="4"/>
        <v>0</v>
      </c>
      <c r="C84" s="69">
        <f t="shared" si="5"/>
        <v>8.3333333333333329E-2</v>
      </c>
      <c r="D84" s="39">
        <f t="shared" si="6"/>
        <v>0</v>
      </c>
    </row>
    <row r="85" spans="1:5" ht="24" customHeight="1" x14ac:dyDescent="0.25">
      <c r="A85" s="40" t="s">
        <v>38</v>
      </c>
      <c r="B85" s="41">
        <f t="shared" si="4"/>
        <v>0</v>
      </c>
      <c r="C85" s="70">
        <f t="shared" si="5"/>
        <v>8.3333333333333329E-2</v>
      </c>
      <c r="D85" s="43">
        <f t="shared" si="6"/>
        <v>0</v>
      </c>
    </row>
    <row r="86" spans="1:5" ht="24" customHeight="1" x14ac:dyDescent="0.25">
      <c r="A86" s="26" t="s">
        <v>25</v>
      </c>
      <c r="B86" s="27">
        <f t="shared" si="4"/>
        <v>0</v>
      </c>
      <c r="C86" s="68">
        <f t="shared" si="5"/>
        <v>8.3333333333333329E-2</v>
      </c>
      <c r="D86" s="34">
        <f t="shared" si="6"/>
        <v>0</v>
      </c>
    </row>
    <row r="87" spans="1:5" ht="24" customHeight="1" x14ac:dyDescent="0.25">
      <c r="A87" s="36" t="s">
        <v>26</v>
      </c>
      <c r="B87" s="37">
        <f t="shared" si="4"/>
        <v>0</v>
      </c>
      <c r="C87" s="69">
        <f t="shared" si="5"/>
        <v>8.3333333333333329E-2</v>
      </c>
      <c r="D87" s="39">
        <f t="shared" si="6"/>
        <v>0</v>
      </c>
    </row>
    <row r="88" spans="1:5" ht="24" customHeight="1" x14ac:dyDescent="0.25">
      <c r="A88" s="21" t="s">
        <v>27</v>
      </c>
      <c r="B88" s="30">
        <f t="shared" si="4"/>
        <v>0</v>
      </c>
      <c r="C88" s="71">
        <f t="shared" si="5"/>
        <v>8.3333333333333329E-2</v>
      </c>
      <c r="D88" s="22">
        <f t="shared" si="6"/>
        <v>0</v>
      </c>
    </row>
    <row r="90" spans="1:5" ht="36.75" customHeight="1" x14ac:dyDescent="0.25">
      <c r="A90" s="7" t="s">
        <v>49</v>
      </c>
      <c r="B90" s="7"/>
      <c r="C90" s="7"/>
      <c r="D90" s="7"/>
    </row>
    <row r="91" spans="1:5" ht="30.75" customHeight="1" x14ac:dyDescent="0.25">
      <c r="A91" s="64" t="s">
        <v>11</v>
      </c>
      <c r="B91" s="65" t="s">
        <v>12</v>
      </c>
      <c r="C91" s="66" t="s">
        <v>48</v>
      </c>
      <c r="D91" s="67" t="s">
        <v>18</v>
      </c>
    </row>
    <row r="92" spans="1:5" ht="24" customHeight="1" x14ac:dyDescent="0.25">
      <c r="A92" s="26" t="s">
        <v>19</v>
      </c>
      <c r="B92" s="27">
        <f t="shared" ref="B92:B97" si="7">G70</f>
        <v>0</v>
      </c>
      <c r="C92" s="68">
        <f t="shared" ref="C92:C97" si="8">1/12</f>
        <v>8.3333333333333329E-2</v>
      </c>
      <c r="D92" s="34">
        <f t="shared" ref="D92:D97" si="9">B92*C92</f>
        <v>0</v>
      </c>
    </row>
    <row r="93" spans="1:5" ht="24" customHeight="1" x14ac:dyDescent="0.25">
      <c r="A93" s="36" t="s">
        <v>21</v>
      </c>
      <c r="B93" s="37">
        <f t="shared" si="7"/>
        <v>0</v>
      </c>
      <c r="C93" s="69">
        <f t="shared" si="8"/>
        <v>8.3333333333333329E-2</v>
      </c>
      <c r="D93" s="39">
        <f t="shared" si="9"/>
        <v>0</v>
      </c>
    </row>
    <row r="94" spans="1:5" ht="24" customHeight="1" x14ac:dyDescent="0.25">
      <c r="A94" s="40" t="s">
        <v>38</v>
      </c>
      <c r="B94" s="41">
        <f t="shared" si="7"/>
        <v>0</v>
      </c>
      <c r="C94" s="70">
        <f t="shared" si="8"/>
        <v>8.3333333333333329E-2</v>
      </c>
      <c r="D94" s="43">
        <f t="shared" si="9"/>
        <v>0</v>
      </c>
    </row>
    <row r="95" spans="1:5" ht="24" customHeight="1" x14ac:dyDescent="0.25">
      <c r="A95" s="26" t="s">
        <v>25</v>
      </c>
      <c r="B95" s="27">
        <f t="shared" si="7"/>
        <v>0</v>
      </c>
      <c r="C95" s="68">
        <f t="shared" si="8"/>
        <v>8.3333333333333329E-2</v>
      </c>
      <c r="D95" s="34">
        <f t="shared" si="9"/>
        <v>0</v>
      </c>
    </row>
    <row r="96" spans="1:5" ht="24" customHeight="1" x14ac:dyDescent="0.25">
      <c r="A96" s="36" t="s">
        <v>26</v>
      </c>
      <c r="B96" s="37">
        <f t="shared" si="7"/>
        <v>0</v>
      </c>
      <c r="C96" s="69">
        <f t="shared" si="8"/>
        <v>8.3333333333333329E-2</v>
      </c>
      <c r="D96" s="39">
        <f t="shared" si="9"/>
        <v>0</v>
      </c>
    </row>
    <row r="97" spans="1:5" ht="24" customHeight="1" x14ac:dyDescent="0.25">
      <c r="A97" s="21" t="s">
        <v>27</v>
      </c>
      <c r="B97" s="30">
        <f t="shared" si="7"/>
        <v>0</v>
      </c>
      <c r="C97" s="71">
        <f t="shared" si="8"/>
        <v>8.3333333333333329E-2</v>
      </c>
      <c r="D97" s="22">
        <f t="shared" si="9"/>
        <v>0</v>
      </c>
    </row>
    <row r="98" spans="1:5" ht="38.25" customHeight="1" x14ac:dyDescent="0.25"/>
    <row r="99" spans="1:5" ht="24" customHeight="1" x14ac:dyDescent="0.25">
      <c r="A99" s="7" t="s">
        <v>50</v>
      </c>
      <c r="B99" s="7"/>
      <c r="C99" s="7"/>
      <c r="D99" s="7"/>
      <c r="E99" s="7"/>
    </row>
    <row r="100" spans="1:5" ht="30" customHeight="1" x14ac:dyDescent="0.25">
      <c r="A100" s="64" t="s">
        <v>11</v>
      </c>
      <c r="B100" s="65" t="s">
        <v>12</v>
      </c>
      <c r="C100" s="66" t="s">
        <v>51</v>
      </c>
      <c r="D100" s="66" t="s">
        <v>48</v>
      </c>
      <c r="E100" s="67" t="s">
        <v>18</v>
      </c>
    </row>
    <row r="101" spans="1:5" ht="24" customHeight="1" x14ac:dyDescent="0.25">
      <c r="A101" s="26" t="s">
        <v>19</v>
      </c>
      <c r="B101" s="27">
        <f t="shared" ref="B101:B106" si="10">G70</f>
        <v>0</v>
      </c>
      <c r="C101" s="28">
        <f t="shared" ref="C101:C106" si="11">1/3</f>
        <v>0.33333333333333331</v>
      </c>
      <c r="D101" s="68">
        <f t="shared" ref="D101:D106" si="12">1/12</f>
        <v>8.3333333333333329E-2</v>
      </c>
      <c r="E101" s="34">
        <f t="shared" ref="E101:E106" si="13">B101*C101*D101</f>
        <v>0</v>
      </c>
    </row>
    <row r="102" spans="1:5" ht="24" customHeight="1" x14ac:dyDescent="0.25">
      <c r="A102" s="36" t="s">
        <v>21</v>
      </c>
      <c r="B102" s="37">
        <f t="shared" si="10"/>
        <v>0</v>
      </c>
      <c r="C102" s="72">
        <f t="shared" si="11"/>
        <v>0.33333333333333331</v>
      </c>
      <c r="D102" s="69">
        <f t="shared" si="12"/>
        <v>8.3333333333333329E-2</v>
      </c>
      <c r="E102" s="39">
        <f t="shared" si="13"/>
        <v>0</v>
      </c>
    </row>
    <row r="103" spans="1:5" ht="24" customHeight="1" x14ac:dyDescent="0.25">
      <c r="A103" s="40" t="s">
        <v>38</v>
      </c>
      <c r="B103" s="41">
        <f t="shared" si="10"/>
        <v>0</v>
      </c>
      <c r="C103" s="73">
        <f t="shared" si="11"/>
        <v>0.33333333333333331</v>
      </c>
      <c r="D103" s="70">
        <f t="shared" si="12"/>
        <v>8.3333333333333329E-2</v>
      </c>
      <c r="E103" s="43">
        <f t="shared" si="13"/>
        <v>0</v>
      </c>
    </row>
    <row r="104" spans="1:5" ht="24" customHeight="1" x14ac:dyDescent="0.25">
      <c r="A104" s="26" t="s">
        <v>25</v>
      </c>
      <c r="B104" s="27">
        <f t="shared" si="10"/>
        <v>0</v>
      </c>
      <c r="C104" s="28">
        <f t="shared" si="11"/>
        <v>0.33333333333333331</v>
      </c>
      <c r="D104" s="68">
        <f t="shared" si="12"/>
        <v>8.3333333333333329E-2</v>
      </c>
      <c r="E104" s="34">
        <f t="shared" si="13"/>
        <v>0</v>
      </c>
    </row>
    <row r="105" spans="1:5" ht="24" customHeight="1" x14ac:dyDescent="0.25">
      <c r="A105" s="36" t="s">
        <v>26</v>
      </c>
      <c r="B105" s="37">
        <f t="shared" si="10"/>
        <v>0</v>
      </c>
      <c r="C105" s="72">
        <f t="shared" si="11"/>
        <v>0.33333333333333331</v>
      </c>
      <c r="D105" s="69">
        <f t="shared" si="12"/>
        <v>8.3333333333333329E-2</v>
      </c>
      <c r="E105" s="39">
        <f t="shared" si="13"/>
        <v>0</v>
      </c>
    </row>
    <row r="106" spans="1:5" ht="24" customHeight="1" x14ac:dyDescent="0.25">
      <c r="A106" s="21" t="s">
        <v>27</v>
      </c>
      <c r="B106" s="30">
        <f t="shared" si="10"/>
        <v>0</v>
      </c>
      <c r="C106" s="31">
        <f t="shared" si="11"/>
        <v>0.33333333333333331</v>
      </c>
      <c r="D106" s="71">
        <f t="shared" si="12"/>
        <v>8.3333333333333329E-2</v>
      </c>
      <c r="E106" s="22">
        <f t="shared" si="13"/>
        <v>0</v>
      </c>
    </row>
    <row r="108" spans="1:5" ht="24" customHeight="1" x14ac:dyDescent="0.25">
      <c r="A108" s="10" t="s">
        <v>46</v>
      </c>
      <c r="B108" s="10"/>
      <c r="C108" s="10"/>
      <c r="D108" s="10"/>
      <c r="E108" s="10"/>
    </row>
    <row r="109" spans="1:5" ht="24" customHeight="1" x14ac:dyDescent="0.25">
      <c r="A109" s="64" t="s">
        <v>11</v>
      </c>
      <c r="B109" s="65" t="s">
        <v>52</v>
      </c>
      <c r="C109" s="65" t="s">
        <v>53</v>
      </c>
      <c r="D109" s="65" t="s">
        <v>54</v>
      </c>
      <c r="E109" s="67" t="s">
        <v>44</v>
      </c>
    </row>
    <row r="110" spans="1:5" ht="24" customHeight="1" x14ac:dyDescent="0.25">
      <c r="A110" s="26" t="s">
        <v>19</v>
      </c>
      <c r="B110" s="27">
        <f t="shared" ref="B110:B115" si="14">D83</f>
        <v>0</v>
      </c>
      <c r="C110" s="27">
        <f t="shared" ref="C110:C115" si="15">D92</f>
        <v>0</v>
      </c>
      <c r="D110" s="27">
        <f t="shared" ref="D110:D115" si="16">E101</f>
        <v>0</v>
      </c>
      <c r="E110" s="34">
        <f t="shared" ref="E110:E115" si="17">SUM(B110:D110)</f>
        <v>0</v>
      </c>
    </row>
    <row r="111" spans="1:5" ht="24" customHeight="1" x14ac:dyDescent="0.25">
      <c r="A111" s="36" t="s">
        <v>21</v>
      </c>
      <c r="B111" s="37">
        <f t="shared" si="14"/>
        <v>0</v>
      </c>
      <c r="C111" s="37">
        <f t="shared" si="15"/>
        <v>0</v>
      </c>
      <c r="D111" s="37">
        <f t="shared" si="16"/>
        <v>0</v>
      </c>
      <c r="E111" s="39">
        <f t="shared" si="17"/>
        <v>0</v>
      </c>
    </row>
    <row r="112" spans="1:5" ht="24" customHeight="1" x14ac:dyDescent="0.25">
      <c r="A112" s="40" t="s">
        <v>38</v>
      </c>
      <c r="B112" s="41">
        <f t="shared" si="14"/>
        <v>0</v>
      </c>
      <c r="C112" s="41">
        <f t="shared" si="15"/>
        <v>0</v>
      </c>
      <c r="D112" s="41">
        <f t="shared" si="16"/>
        <v>0</v>
      </c>
      <c r="E112" s="43">
        <f t="shared" si="17"/>
        <v>0</v>
      </c>
    </row>
    <row r="113" spans="1:8" ht="24" customHeight="1" x14ac:dyDescent="0.25">
      <c r="A113" s="26" t="s">
        <v>25</v>
      </c>
      <c r="B113" s="27">
        <f t="shared" si="14"/>
        <v>0</v>
      </c>
      <c r="C113" s="27">
        <f t="shared" si="15"/>
        <v>0</v>
      </c>
      <c r="D113" s="27">
        <f t="shared" si="16"/>
        <v>0</v>
      </c>
      <c r="E113" s="34">
        <f t="shared" si="17"/>
        <v>0</v>
      </c>
    </row>
    <row r="114" spans="1:8" ht="24" customHeight="1" x14ac:dyDescent="0.25">
      <c r="A114" s="36" t="s">
        <v>26</v>
      </c>
      <c r="B114" s="37">
        <f t="shared" si="14"/>
        <v>0</v>
      </c>
      <c r="C114" s="37">
        <f t="shared" si="15"/>
        <v>0</v>
      </c>
      <c r="D114" s="37">
        <f t="shared" si="16"/>
        <v>0</v>
      </c>
      <c r="E114" s="39">
        <f t="shared" si="17"/>
        <v>0</v>
      </c>
    </row>
    <row r="115" spans="1:8" ht="24" customHeight="1" x14ac:dyDescent="0.25">
      <c r="A115" s="21" t="s">
        <v>27</v>
      </c>
      <c r="B115" s="30">
        <f t="shared" si="14"/>
        <v>0</v>
      </c>
      <c r="C115" s="30">
        <f t="shared" si="15"/>
        <v>0</v>
      </c>
      <c r="D115" s="30">
        <f t="shared" si="16"/>
        <v>0</v>
      </c>
      <c r="E115" s="22">
        <f t="shared" si="17"/>
        <v>0</v>
      </c>
      <c r="H115" s="17"/>
    </row>
    <row r="117" spans="1:8" ht="24" customHeight="1" x14ac:dyDescent="0.25">
      <c r="A117" s="11" t="s">
        <v>55</v>
      </c>
      <c r="B117" s="11"/>
      <c r="C117" s="11"/>
      <c r="D117" s="11"/>
      <c r="E117" s="11"/>
      <c r="F117" s="11"/>
      <c r="G117" s="11"/>
      <c r="H117" s="11"/>
    </row>
    <row r="118" spans="1:8" ht="51.75" customHeight="1" x14ac:dyDescent="0.25">
      <c r="A118" s="13" t="s">
        <v>56</v>
      </c>
      <c r="B118" s="13"/>
      <c r="C118" s="13"/>
      <c r="D118" s="13"/>
      <c r="E118" s="13"/>
      <c r="F118" s="13"/>
      <c r="G118" s="13"/>
      <c r="H118" s="13"/>
    </row>
    <row r="120" spans="1:8" ht="24" customHeight="1" x14ac:dyDescent="0.25">
      <c r="A120" s="10" t="s">
        <v>57</v>
      </c>
      <c r="B120" s="10"/>
    </row>
    <row r="121" spans="1:8" ht="24" customHeight="1" x14ac:dyDescent="0.25">
      <c r="A121" s="64" t="s">
        <v>58</v>
      </c>
      <c r="B121" s="67" t="s">
        <v>13</v>
      </c>
    </row>
    <row r="122" spans="1:8" ht="24" customHeight="1" x14ac:dyDescent="0.25">
      <c r="A122" s="26" t="s">
        <v>59</v>
      </c>
      <c r="B122" s="74">
        <v>0.2</v>
      </c>
    </row>
    <row r="123" spans="1:8" ht="24" customHeight="1" x14ac:dyDescent="0.25">
      <c r="A123" s="36" t="s">
        <v>60</v>
      </c>
      <c r="B123" s="75">
        <v>2.5000000000000001E-2</v>
      </c>
    </row>
    <row r="124" spans="1:8" ht="24" customHeight="1" x14ac:dyDescent="0.25">
      <c r="A124" s="36" t="s">
        <v>61</v>
      </c>
      <c r="B124" s="76"/>
    </row>
    <row r="125" spans="1:8" ht="24" customHeight="1" x14ac:dyDescent="0.25">
      <c r="A125" s="36" t="s">
        <v>62</v>
      </c>
      <c r="B125" s="75">
        <v>1.4999999999999999E-2</v>
      </c>
    </row>
    <row r="126" spans="1:8" ht="24" customHeight="1" x14ac:dyDescent="0.25">
      <c r="A126" s="36" t="s">
        <v>63</v>
      </c>
      <c r="B126" s="75">
        <v>0.01</v>
      </c>
    </row>
    <row r="127" spans="1:8" ht="24" customHeight="1" x14ac:dyDescent="0.25">
      <c r="A127" s="36" t="s">
        <v>64</v>
      </c>
      <c r="B127" s="75">
        <v>6.0000000000000001E-3</v>
      </c>
    </row>
    <row r="128" spans="1:8" ht="24" customHeight="1" x14ac:dyDescent="0.25">
      <c r="A128" s="36" t="s">
        <v>65</v>
      </c>
      <c r="B128" s="75">
        <v>2E-3</v>
      </c>
    </row>
    <row r="129" spans="1:4" ht="24" customHeight="1" x14ac:dyDescent="0.25">
      <c r="A129" s="21" t="s">
        <v>66</v>
      </c>
      <c r="B129" s="77">
        <v>0.08</v>
      </c>
    </row>
    <row r="130" spans="1:4" ht="24" customHeight="1" x14ac:dyDescent="0.25">
      <c r="A130" s="78" t="s">
        <v>67</v>
      </c>
      <c r="B130" s="79">
        <f>SUM(B122:B129)</f>
        <v>0.33800000000000002</v>
      </c>
    </row>
    <row r="132" spans="1:4" ht="24" customHeight="1" x14ac:dyDescent="0.25">
      <c r="A132" s="10" t="s">
        <v>68</v>
      </c>
      <c r="B132" s="10"/>
      <c r="C132" s="10"/>
      <c r="D132" s="10"/>
    </row>
    <row r="133" spans="1:4" ht="24" customHeight="1" x14ac:dyDescent="0.25">
      <c r="A133" s="64" t="s">
        <v>11</v>
      </c>
      <c r="B133" s="65" t="s">
        <v>12</v>
      </c>
      <c r="C133" s="65" t="s">
        <v>13</v>
      </c>
      <c r="D133" s="67" t="s">
        <v>18</v>
      </c>
    </row>
    <row r="134" spans="1:4" ht="24" customHeight="1" x14ac:dyDescent="0.25">
      <c r="A134" s="26" t="s">
        <v>19</v>
      </c>
      <c r="B134" s="27">
        <f t="shared" ref="B134:B139" si="18">G70+E110</f>
        <v>0</v>
      </c>
      <c r="C134" s="80">
        <f t="shared" ref="C134:C139" si="19">SUM($B$122:$B$128)</f>
        <v>0.25800000000000001</v>
      </c>
      <c r="D134" s="34">
        <f t="shared" ref="D134:D139" si="20">B134*C134</f>
        <v>0</v>
      </c>
    </row>
    <row r="135" spans="1:4" ht="24" customHeight="1" x14ac:dyDescent="0.25">
      <c r="A135" s="36" t="s">
        <v>21</v>
      </c>
      <c r="B135" s="37">
        <f t="shared" si="18"/>
        <v>0</v>
      </c>
      <c r="C135" s="81">
        <f t="shared" si="19"/>
        <v>0.25800000000000001</v>
      </c>
      <c r="D135" s="39">
        <f t="shared" si="20"/>
        <v>0</v>
      </c>
    </row>
    <row r="136" spans="1:4" ht="24" customHeight="1" x14ac:dyDescent="0.25">
      <c r="A136" s="40" t="s">
        <v>38</v>
      </c>
      <c r="B136" s="41">
        <f t="shared" si="18"/>
        <v>0</v>
      </c>
      <c r="C136" s="82">
        <f t="shared" si="19"/>
        <v>0.25800000000000001</v>
      </c>
      <c r="D136" s="43">
        <f t="shared" si="20"/>
        <v>0</v>
      </c>
    </row>
    <row r="137" spans="1:4" ht="24" customHeight="1" x14ac:dyDescent="0.25">
      <c r="A137" s="26" t="s">
        <v>25</v>
      </c>
      <c r="B137" s="27">
        <f t="shared" si="18"/>
        <v>0</v>
      </c>
      <c r="C137" s="80">
        <f t="shared" si="19"/>
        <v>0.25800000000000001</v>
      </c>
      <c r="D137" s="34">
        <f t="shared" si="20"/>
        <v>0</v>
      </c>
    </row>
    <row r="138" spans="1:4" ht="24" customHeight="1" x14ac:dyDescent="0.25">
      <c r="A138" s="36" t="s">
        <v>26</v>
      </c>
      <c r="B138" s="37">
        <f t="shared" si="18"/>
        <v>0</v>
      </c>
      <c r="C138" s="81">
        <f t="shared" si="19"/>
        <v>0.25800000000000001</v>
      </c>
      <c r="D138" s="39">
        <f t="shared" si="20"/>
        <v>0</v>
      </c>
    </row>
    <row r="139" spans="1:4" ht="24" customHeight="1" x14ac:dyDescent="0.25">
      <c r="A139" s="21" t="s">
        <v>27</v>
      </c>
      <c r="B139" s="30">
        <f t="shared" si="18"/>
        <v>0</v>
      </c>
      <c r="C139" s="83">
        <f t="shared" si="19"/>
        <v>0.25800000000000001</v>
      </c>
      <c r="D139" s="22">
        <f t="shared" si="20"/>
        <v>0</v>
      </c>
    </row>
    <row r="141" spans="1:4" ht="24" customHeight="1" x14ac:dyDescent="0.25">
      <c r="A141" s="10" t="s">
        <v>69</v>
      </c>
      <c r="B141" s="10"/>
      <c r="C141" s="10"/>
      <c r="D141" s="10"/>
    </row>
    <row r="142" spans="1:4" ht="24" customHeight="1" x14ac:dyDescent="0.25">
      <c r="A142" s="64" t="s">
        <v>11</v>
      </c>
      <c r="B142" s="65" t="s">
        <v>12</v>
      </c>
      <c r="C142" s="65" t="s">
        <v>13</v>
      </c>
      <c r="D142" s="67" t="s">
        <v>18</v>
      </c>
    </row>
    <row r="143" spans="1:4" ht="24" customHeight="1" x14ac:dyDescent="0.25">
      <c r="A143" s="26" t="s">
        <v>19</v>
      </c>
      <c r="B143" s="27">
        <f t="shared" ref="B143:B148" si="21">G70+E110</f>
        <v>0</v>
      </c>
      <c r="C143" s="68">
        <f t="shared" ref="C143:C148" si="22">$B$129</f>
        <v>0.08</v>
      </c>
      <c r="D143" s="34">
        <f t="shared" ref="D143:D148" si="23">B143*C143</f>
        <v>0</v>
      </c>
    </row>
    <row r="144" spans="1:4" ht="24" customHeight="1" x14ac:dyDescent="0.25">
      <c r="A144" s="36" t="s">
        <v>21</v>
      </c>
      <c r="B144" s="37">
        <f t="shared" si="21"/>
        <v>0</v>
      </c>
      <c r="C144" s="69">
        <f t="shared" si="22"/>
        <v>0.08</v>
      </c>
      <c r="D144" s="39">
        <f t="shared" si="23"/>
        <v>0</v>
      </c>
    </row>
    <row r="145" spans="1:8" ht="24" customHeight="1" x14ac:dyDescent="0.25">
      <c r="A145" s="40" t="s">
        <v>38</v>
      </c>
      <c r="B145" s="41">
        <f t="shared" si="21"/>
        <v>0</v>
      </c>
      <c r="C145" s="70">
        <f t="shared" si="22"/>
        <v>0.08</v>
      </c>
      <c r="D145" s="43">
        <f t="shared" si="23"/>
        <v>0</v>
      </c>
    </row>
    <row r="146" spans="1:8" ht="24" customHeight="1" x14ac:dyDescent="0.25">
      <c r="A146" s="26" t="s">
        <v>25</v>
      </c>
      <c r="B146" s="27">
        <f t="shared" si="21"/>
        <v>0</v>
      </c>
      <c r="C146" s="68">
        <f t="shared" si="22"/>
        <v>0.08</v>
      </c>
      <c r="D146" s="34">
        <f t="shared" si="23"/>
        <v>0</v>
      </c>
    </row>
    <row r="147" spans="1:8" ht="24" customHeight="1" x14ac:dyDescent="0.25">
      <c r="A147" s="36" t="s">
        <v>26</v>
      </c>
      <c r="B147" s="37">
        <f t="shared" si="21"/>
        <v>0</v>
      </c>
      <c r="C147" s="69">
        <f t="shared" si="22"/>
        <v>0.08</v>
      </c>
      <c r="D147" s="39">
        <f t="shared" si="23"/>
        <v>0</v>
      </c>
    </row>
    <row r="148" spans="1:8" ht="24" customHeight="1" x14ac:dyDescent="0.25">
      <c r="A148" s="21" t="s">
        <v>27</v>
      </c>
      <c r="B148" s="30">
        <f t="shared" si="21"/>
        <v>0</v>
      </c>
      <c r="C148" s="71">
        <f t="shared" si="22"/>
        <v>0.08</v>
      </c>
      <c r="D148" s="22">
        <f t="shared" si="23"/>
        <v>0</v>
      </c>
    </row>
    <row r="150" spans="1:8" ht="24" customHeight="1" x14ac:dyDescent="0.25">
      <c r="A150" s="10" t="s">
        <v>55</v>
      </c>
      <c r="B150" s="10"/>
      <c r="C150" s="10"/>
      <c r="D150" s="10"/>
    </row>
    <row r="151" spans="1:8" ht="24" customHeight="1" x14ac:dyDescent="0.25">
      <c r="A151" s="64" t="s">
        <v>11</v>
      </c>
      <c r="B151" s="65" t="s">
        <v>70</v>
      </c>
      <c r="C151" s="65" t="s">
        <v>66</v>
      </c>
      <c r="D151" s="67" t="s">
        <v>44</v>
      </c>
    </row>
    <row r="152" spans="1:8" ht="24" customHeight="1" x14ac:dyDescent="0.25">
      <c r="A152" s="26" t="s">
        <v>19</v>
      </c>
      <c r="B152" s="27">
        <f t="shared" ref="B152:B157" si="24">D134</f>
        <v>0</v>
      </c>
      <c r="C152" s="27">
        <f t="shared" ref="C152:C157" si="25">D143</f>
        <v>0</v>
      </c>
      <c r="D152" s="34">
        <f t="shared" ref="D152:D157" si="26">B152+C152</f>
        <v>0</v>
      </c>
    </row>
    <row r="153" spans="1:8" ht="24" customHeight="1" x14ac:dyDescent="0.25">
      <c r="A153" s="36" t="s">
        <v>21</v>
      </c>
      <c r="B153" s="37">
        <f t="shared" si="24"/>
        <v>0</v>
      </c>
      <c r="C153" s="37">
        <f t="shared" si="25"/>
        <v>0</v>
      </c>
      <c r="D153" s="39">
        <f t="shared" si="26"/>
        <v>0</v>
      </c>
    </row>
    <row r="154" spans="1:8" ht="24" customHeight="1" x14ac:dyDescent="0.25">
      <c r="A154" s="40" t="s">
        <v>38</v>
      </c>
      <c r="B154" s="41">
        <f t="shared" si="24"/>
        <v>0</v>
      </c>
      <c r="C154" s="41">
        <f t="shared" si="25"/>
        <v>0</v>
      </c>
      <c r="D154" s="43">
        <f t="shared" si="26"/>
        <v>0</v>
      </c>
    </row>
    <row r="155" spans="1:8" ht="24" customHeight="1" x14ac:dyDescent="0.25">
      <c r="A155" s="26" t="s">
        <v>25</v>
      </c>
      <c r="B155" s="27">
        <f t="shared" si="24"/>
        <v>0</v>
      </c>
      <c r="C155" s="27">
        <f t="shared" si="25"/>
        <v>0</v>
      </c>
      <c r="D155" s="34">
        <f t="shared" si="26"/>
        <v>0</v>
      </c>
    </row>
    <row r="156" spans="1:8" ht="24" customHeight="1" x14ac:dyDescent="0.25">
      <c r="A156" s="36" t="s">
        <v>26</v>
      </c>
      <c r="B156" s="37">
        <f t="shared" si="24"/>
        <v>0</v>
      </c>
      <c r="C156" s="37">
        <f t="shared" si="25"/>
        <v>0</v>
      </c>
      <c r="D156" s="39">
        <f t="shared" si="26"/>
        <v>0</v>
      </c>
    </row>
    <row r="157" spans="1:8" ht="24" customHeight="1" x14ac:dyDescent="0.25">
      <c r="A157" s="21" t="s">
        <v>27</v>
      </c>
      <c r="B157" s="30">
        <f t="shared" si="24"/>
        <v>0</v>
      </c>
      <c r="C157" s="30">
        <f t="shared" si="25"/>
        <v>0</v>
      </c>
      <c r="D157" s="22">
        <f t="shared" si="26"/>
        <v>0</v>
      </c>
      <c r="H157" s="17"/>
    </row>
    <row r="159" spans="1:8" ht="24" customHeight="1" x14ac:dyDescent="0.25">
      <c r="A159" s="11" t="s">
        <v>71</v>
      </c>
      <c r="B159" s="11"/>
      <c r="C159" s="11"/>
      <c r="D159" s="11"/>
      <c r="E159" s="11"/>
      <c r="F159" s="11"/>
      <c r="G159" s="11"/>
      <c r="H159" s="11"/>
    </row>
    <row r="160" spans="1:8" ht="72.75" customHeight="1" x14ac:dyDescent="0.25">
      <c r="A160" s="13" t="s">
        <v>72</v>
      </c>
      <c r="B160" s="13"/>
      <c r="C160" s="13"/>
      <c r="D160" s="13"/>
      <c r="E160" s="13"/>
      <c r="F160" s="13"/>
      <c r="G160" s="13"/>
      <c r="H160" s="13"/>
    </row>
    <row r="162" spans="1:7" ht="24" customHeight="1" x14ac:dyDescent="0.25">
      <c r="A162" s="9" t="s">
        <v>73</v>
      </c>
      <c r="B162" s="9"/>
      <c r="C162" s="9"/>
      <c r="D162" s="9"/>
      <c r="E162" s="9"/>
      <c r="F162" s="9"/>
      <c r="G162" s="17"/>
    </row>
    <row r="163" spans="1:7" ht="36" customHeight="1" x14ac:dyDescent="0.25"/>
    <row r="164" spans="1:7" ht="24" customHeight="1" x14ac:dyDescent="0.25">
      <c r="A164" s="10" t="s">
        <v>74</v>
      </c>
      <c r="B164" s="10"/>
      <c r="C164" s="10"/>
      <c r="D164" s="10"/>
      <c r="E164" s="10"/>
    </row>
    <row r="165" spans="1:7" ht="31.5" x14ac:dyDescent="0.25">
      <c r="A165" s="64" t="s">
        <v>11</v>
      </c>
      <c r="B165" s="65" t="s">
        <v>75</v>
      </c>
      <c r="C165" s="65" t="s">
        <v>76</v>
      </c>
      <c r="D165" s="66" t="s">
        <v>77</v>
      </c>
      <c r="E165" s="67" t="s">
        <v>78</v>
      </c>
    </row>
    <row r="166" spans="1:7" ht="24" customHeight="1" x14ac:dyDescent="0.25">
      <c r="A166" s="26" t="s">
        <v>19</v>
      </c>
      <c r="B166" s="27"/>
      <c r="C166" s="84">
        <v>2</v>
      </c>
      <c r="D166" s="84">
        <v>15</v>
      </c>
      <c r="E166" s="34">
        <f t="shared" ref="E166:E171" si="27">B166*C166*D166</f>
        <v>0</v>
      </c>
    </row>
    <row r="167" spans="1:7" ht="24" customHeight="1" x14ac:dyDescent="0.25">
      <c r="A167" s="36" t="s">
        <v>21</v>
      </c>
      <c r="B167" s="37">
        <f t="shared" ref="B167:C171" si="28">B166</f>
        <v>0</v>
      </c>
      <c r="C167" s="85">
        <f t="shared" si="28"/>
        <v>2</v>
      </c>
      <c r="D167" s="85">
        <v>15</v>
      </c>
      <c r="E167" s="39">
        <f t="shared" si="27"/>
        <v>0</v>
      </c>
    </row>
    <row r="168" spans="1:7" ht="24" customHeight="1" x14ac:dyDescent="0.25">
      <c r="A168" s="40" t="s">
        <v>38</v>
      </c>
      <c r="B168" s="41">
        <f t="shared" si="28"/>
        <v>0</v>
      </c>
      <c r="C168" s="86">
        <f t="shared" si="28"/>
        <v>2</v>
      </c>
      <c r="D168" s="86">
        <v>22</v>
      </c>
      <c r="E168" s="43">
        <f t="shared" si="27"/>
        <v>0</v>
      </c>
    </row>
    <row r="169" spans="1:7" ht="24" customHeight="1" x14ac:dyDescent="0.25">
      <c r="A169" s="26" t="s">
        <v>25</v>
      </c>
      <c r="B169" s="27">
        <f t="shared" si="28"/>
        <v>0</v>
      </c>
      <c r="C169" s="84">
        <f t="shared" si="28"/>
        <v>2</v>
      </c>
      <c r="D169" s="84">
        <v>15</v>
      </c>
      <c r="E169" s="34">
        <f t="shared" si="27"/>
        <v>0</v>
      </c>
    </row>
    <row r="170" spans="1:7" ht="24" customHeight="1" x14ac:dyDescent="0.25">
      <c r="A170" s="36" t="s">
        <v>26</v>
      </c>
      <c r="B170" s="37">
        <f t="shared" si="28"/>
        <v>0</v>
      </c>
      <c r="C170" s="85">
        <f t="shared" si="28"/>
        <v>2</v>
      </c>
      <c r="D170" s="85">
        <v>15</v>
      </c>
      <c r="E170" s="39">
        <f t="shared" si="27"/>
        <v>0</v>
      </c>
    </row>
    <row r="171" spans="1:7" ht="24" customHeight="1" x14ac:dyDescent="0.25">
      <c r="A171" s="21" t="s">
        <v>27</v>
      </c>
      <c r="B171" s="30">
        <f t="shared" si="28"/>
        <v>0</v>
      </c>
      <c r="C171" s="87">
        <f t="shared" si="28"/>
        <v>2</v>
      </c>
      <c r="D171" s="87">
        <v>22</v>
      </c>
      <c r="E171" s="22">
        <f t="shared" si="27"/>
        <v>0</v>
      </c>
    </row>
    <row r="173" spans="1:7" ht="24" customHeight="1" x14ac:dyDescent="0.25">
      <c r="A173" s="10" t="s">
        <v>79</v>
      </c>
      <c r="B173" s="10"/>
      <c r="C173" s="10"/>
      <c r="D173" s="10"/>
      <c r="E173" s="10"/>
    </row>
    <row r="174" spans="1:7" ht="24" customHeight="1" x14ac:dyDescent="0.25">
      <c r="A174" s="64" t="s">
        <v>11</v>
      </c>
      <c r="B174" s="65" t="s">
        <v>12</v>
      </c>
      <c r="C174" s="65" t="s">
        <v>80</v>
      </c>
      <c r="D174" s="65" t="s">
        <v>13</v>
      </c>
      <c r="E174" s="67" t="s">
        <v>81</v>
      </c>
    </row>
    <row r="175" spans="1:7" ht="24" customHeight="1" x14ac:dyDescent="0.25">
      <c r="A175" s="26" t="s">
        <v>19</v>
      </c>
      <c r="B175" s="27">
        <f>B12</f>
        <v>0</v>
      </c>
      <c r="C175" s="33">
        <v>0.5</v>
      </c>
      <c r="D175" s="33">
        <v>0.06</v>
      </c>
      <c r="E175" s="34">
        <f t="shared" ref="E175:E180" si="29">B175*C175*D175</f>
        <v>0</v>
      </c>
    </row>
    <row r="176" spans="1:7" ht="24" customHeight="1" x14ac:dyDescent="0.25">
      <c r="A176" s="36" t="s">
        <v>21</v>
      </c>
      <c r="B176" s="37">
        <f>B12</f>
        <v>0</v>
      </c>
      <c r="C176" s="38">
        <v>0.5</v>
      </c>
      <c r="D176" s="38">
        <v>0.06</v>
      </c>
      <c r="E176" s="39">
        <f t="shared" si="29"/>
        <v>0</v>
      </c>
    </row>
    <row r="177" spans="1:8" ht="24" customHeight="1" x14ac:dyDescent="0.25">
      <c r="A177" s="40" t="s">
        <v>38</v>
      </c>
      <c r="B177" s="41">
        <f>B12</f>
        <v>0</v>
      </c>
      <c r="C177" s="42">
        <v>1</v>
      </c>
      <c r="D177" s="42">
        <v>0.06</v>
      </c>
      <c r="E177" s="43">
        <f t="shared" si="29"/>
        <v>0</v>
      </c>
    </row>
    <row r="178" spans="1:8" ht="24" customHeight="1" x14ac:dyDescent="0.25">
      <c r="A178" s="26" t="s">
        <v>25</v>
      </c>
      <c r="B178" s="27">
        <f>B13</f>
        <v>0</v>
      </c>
      <c r="C178" s="33">
        <v>0.5</v>
      </c>
      <c r="D178" s="33">
        <v>0.06</v>
      </c>
      <c r="E178" s="34">
        <f t="shared" si="29"/>
        <v>0</v>
      </c>
    </row>
    <row r="179" spans="1:8" ht="24" customHeight="1" x14ac:dyDescent="0.25">
      <c r="A179" s="36" t="s">
        <v>26</v>
      </c>
      <c r="B179" s="37">
        <f>B13</f>
        <v>0</v>
      </c>
      <c r="C179" s="38">
        <v>0.5</v>
      </c>
      <c r="D179" s="38">
        <v>0.06</v>
      </c>
      <c r="E179" s="39">
        <f t="shared" si="29"/>
        <v>0</v>
      </c>
    </row>
    <row r="180" spans="1:8" ht="24" customHeight="1" x14ac:dyDescent="0.25">
      <c r="A180" s="21" t="s">
        <v>27</v>
      </c>
      <c r="B180" s="30">
        <f>B13</f>
        <v>0</v>
      </c>
      <c r="C180" s="44">
        <v>1</v>
      </c>
      <c r="D180" s="44">
        <v>0.06</v>
      </c>
      <c r="E180" s="22">
        <f t="shared" si="29"/>
        <v>0</v>
      </c>
    </row>
    <row r="182" spans="1:8" ht="24" customHeight="1" x14ac:dyDescent="0.25">
      <c r="A182" s="10" t="s">
        <v>82</v>
      </c>
      <c r="B182" s="10"/>
      <c r="C182" s="10"/>
      <c r="D182" s="10"/>
    </row>
    <row r="183" spans="1:8" ht="24" customHeight="1" x14ac:dyDescent="0.25">
      <c r="A183" s="64" t="s">
        <v>11</v>
      </c>
      <c r="B183" s="65" t="s">
        <v>78</v>
      </c>
      <c r="C183" s="65" t="s">
        <v>83</v>
      </c>
      <c r="D183" s="67" t="s">
        <v>84</v>
      </c>
    </row>
    <row r="184" spans="1:8" ht="24" customHeight="1" x14ac:dyDescent="0.25">
      <c r="A184" s="26" t="s">
        <v>19</v>
      </c>
      <c r="B184" s="27">
        <f t="shared" ref="B184:B189" si="30">E166</f>
        <v>0</v>
      </c>
      <c r="C184" s="27">
        <f t="shared" ref="C184:C189" si="31">E175</f>
        <v>0</v>
      </c>
      <c r="D184" s="34">
        <f t="shared" ref="D184:D189" si="32">B184-C184</f>
        <v>0</v>
      </c>
    </row>
    <row r="185" spans="1:8" ht="24" customHeight="1" x14ac:dyDescent="0.25">
      <c r="A185" s="36" t="s">
        <v>21</v>
      </c>
      <c r="B185" s="37">
        <f t="shared" si="30"/>
        <v>0</v>
      </c>
      <c r="C185" s="37">
        <f t="shared" si="31"/>
        <v>0</v>
      </c>
      <c r="D185" s="39">
        <f t="shared" si="32"/>
        <v>0</v>
      </c>
    </row>
    <row r="186" spans="1:8" ht="24" customHeight="1" x14ac:dyDescent="0.25">
      <c r="A186" s="40" t="s">
        <v>38</v>
      </c>
      <c r="B186" s="41">
        <f t="shared" si="30"/>
        <v>0</v>
      </c>
      <c r="C186" s="41">
        <f t="shared" si="31"/>
        <v>0</v>
      </c>
      <c r="D186" s="43">
        <f t="shared" si="32"/>
        <v>0</v>
      </c>
    </row>
    <row r="187" spans="1:8" ht="24" customHeight="1" x14ac:dyDescent="0.25">
      <c r="A187" s="26" t="s">
        <v>25</v>
      </c>
      <c r="B187" s="27">
        <f t="shared" si="30"/>
        <v>0</v>
      </c>
      <c r="C187" s="27">
        <f t="shared" si="31"/>
        <v>0</v>
      </c>
      <c r="D187" s="34">
        <f t="shared" si="32"/>
        <v>0</v>
      </c>
    </row>
    <row r="188" spans="1:8" ht="24" customHeight="1" x14ac:dyDescent="0.25">
      <c r="A188" s="36" t="s">
        <v>26</v>
      </c>
      <c r="B188" s="37">
        <f t="shared" si="30"/>
        <v>0</v>
      </c>
      <c r="C188" s="37">
        <f t="shared" si="31"/>
        <v>0</v>
      </c>
      <c r="D188" s="39">
        <f t="shared" si="32"/>
        <v>0</v>
      </c>
    </row>
    <row r="189" spans="1:8" ht="24" customHeight="1" x14ac:dyDescent="0.25">
      <c r="A189" s="21" t="s">
        <v>27</v>
      </c>
      <c r="B189" s="30">
        <f t="shared" si="30"/>
        <v>0</v>
      </c>
      <c r="C189" s="30">
        <f t="shared" si="31"/>
        <v>0</v>
      </c>
      <c r="D189" s="22">
        <f t="shared" si="32"/>
        <v>0</v>
      </c>
      <c r="H189" s="17"/>
    </row>
    <row r="191" spans="1:8" ht="24" customHeight="1" x14ac:dyDescent="0.25">
      <c r="A191" s="9" t="s">
        <v>85</v>
      </c>
      <c r="B191" s="9"/>
      <c r="C191" s="9"/>
      <c r="D191" s="9"/>
      <c r="E191" s="9"/>
      <c r="F191" s="9"/>
      <c r="G191" s="17"/>
    </row>
    <row r="192" spans="1:8" ht="31.5" customHeight="1" x14ac:dyDescent="0.25"/>
    <row r="193" spans="1:4" ht="24" customHeight="1" x14ac:dyDescent="0.25">
      <c r="A193" s="10" t="s">
        <v>85</v>
      </c>
      <c r="B193" s="10"/>
      <c r="C193" s="10"/>
      <c r="D193" s="10"/>
    </row>
    <row r="194" spans="1:4" ht="27" customHeight="1" x14ac:dyDescent="0.25">
      <c r="A194" s="23" t="s">
        <v>11</v>
      </c>
      <c r="B194" s="24" t="s">
        <v>86</v>
      </c>
      <c r="C194" s="45" t="s">
        <v>77</v>
      </c>
      <c r="D194" s="25" t="s">
        <v>18</v>
      </c>
    </row>
    <row r="195" spans="1:4" ht="24" customHeight="1" x14ac:dyDescent="0.25">
      <c r="A195" s="26" t="s">
        <v>19</v>
      </c>
      <c r="B195" s="27"/>
      <c r="C195" s="84">
        <f t="shared" ref="C195:C200" si="33">D166</f>
        <v>15</v>
      </c>
      <c r="D195" s="34">
        <f t="shared" ref="D195:D200" si="34">B195*C195</f>
        <v>0</v>
      </c>
    </row>
    <row r="196" spans="1:4" ht="24" customHeight="1" x14ac:dyDescent="0.25">
      <c r="A196" s="36" t="s">
        <v>21</v>
      </c>
      <c r="B196" s="37">
        <f>B195</f>
        <v>0</v>
      </c>
      <c r="C196" s="85">
        <f t="shared" si="33"/>
        <v>15</v>
      </c>
      <c r="D196" s="39">
        <f t="shared" si="34"/>
        <v>0</v>
      </c>
    </row>
    <row r="197" spans="1:4" ht="24" customHeight="1" x14ac:dyDescent="0.25">
      <c r="A197" s="21" t="s">
        <v>38</v>
      </c>
      <c r="B197" s="30">
        <f>B196</f>
        <v>0</v>
      </c>
      <c r="C197" s="87">
        <f t="shared" si="33"/>
        <v>22</v>
      </c>
      <c r="D197" s="22">
        <f t="shared" si="34"/>
        <v>0</v>
      </c>
    </row>
    <row r="198" spans="1:4" ht="24" customHeight="1" x14ac:dyDescent="0.25">
      <c r="A198" s="26" t="s">
        <v>25</v>
      </c>
      <c r="B198" s="27">
        <f>B197</f>
        <v>0</v>
      </c>
      <c r="C198" s="84">
        <f t="shared" si="33"/>
        <v>15</v>
      </c>
      <c r="D198" s="34">
        <f t="shared" si="34"/>
        <v>0</v>
      </c>
    </row>
    <row r="199" spans="1:4" ht="24" customHeight="1" x14ac:dyDescent="0.25">
      <c r="A199" s="36" t="s">
        <v>26</v>
      </c>
      <c r="B199" s="37">
        <f>B198</f>
        <v>0</v>
      </c>
      <c r="C199" s="85">
        <f t="shared" si="33"/>
        <v>15</v>
      </c>
      <c r="D199" s="39">
        <f t="shared" si="34"/>
        <v>0</v>
      </c>
    </row>
    <row r="200" spans="1:4" ht="24" customHeight="1" x14ac:dyDescent="0.25">
      <c r="A200" s="21" t="s">
        <v>27</v>
      </c>
      <c r="B200" s="30">
        <f>B199</f>
        <v>0</v>
      </c>
      <c r="C200" s="87">
        <f t="shared" si="33"/>
        <v>22</v>
      </c>
      <c r="D200" s="22">
        <f t="shared" si="34"/>
        <v>0</v>
      </c>
    </row>
    <row r="202" spans="1:4" ht="24" customHeight="1" x14ac:dyDescent="0.25">
      <c r="A202" s="10" t="s">
        <v>87</v>
      </c>
      <c r="B202" s="10"/>
      <c r="C202" s="10"/>
      <c r="D202" s="10"/>
    </row>
    <row r="203" spans="1:4" ht="24" customHeight="1" x14ac:dyDescent="0.25">
      <c r="A203" s="64" t="s">
        <v>11</v>
      </c>
      <c r="B203" s="65" t="s">
        <v>12</v>
      </c>
      <c r="C203" s="65" t="s">
        <v>13</v>
      </c>
      <c r="D203" s="67" t="s">
        <v>81</v>
      </c>
    </row>
    <row r="204" spans="1:4" ht="24" customHeight="1" x14ac:dyDescent="0.25">
      <c r="A204" s="26" t="s">
        <v>19</v>
      </c>
      <c r="B204" s="27">
        <f t="shared" ref="B204:B209" si="35">D195</f>
        <v>0</v>
      </c>
      <c r="C204" s="33"/>
      <c r="D204" s="34">
        <f t="shared" ref="D204:D209" si="36">B204*C204</f>
        <v>0</v>
      </c>
    </row>
    <row r="205" spans="1:4" ht="24" customHeight="1" x14ac:dyDescent="0.25">
      <c r="A205" s="36" t="s">
        <v>21</v>
      </c>
      <c r="B205" s="37">
        <f t="shared" si="35"/>
        <v>0</v>
      </c>
      <c r="C205" s="38">
        <f>C204</f>
        <v>0</v>
      </c>
      <c r="D205" s="39">
        <f t="shared" si="36"/>
        <v>0</v>
      </c>
    </row>
    <row r="206" spans="1:4" ht="24" customHeight="1" x14ac:dyDescent="0.25">
      <c r="A206" s="36" t="s">
        <v>38</v>
      </c>
      <c r="B206" s="37">
        <f t="shared" si="35"/>
        <v>0</v>
      </c>
      <c r="C206" s="38">
        <f>C205</f>
        <v>0</v>
      </c>
      <c r="D206" s="39">
        <f t="shared" si="36"/>
        <v>0</v>
      </c>
    </row>
    <row r="207" spans="1:4" ht="24" customHeight="1" x14ac:dyDescent="0.25">
      <c r="A207" s="36" t="s">
        <v>25</v>
      </c>
      <c r="B207" s="37">
        <f t="shared" si="35"/>
        <v>0</v>
      </c>
      <c r="C207" s="38">
        <f>C206</f>
        <v>0</v>
      </c>
      <c r="D207" s="39">
        <f t="shared" si="36"/>
        <v>0</v>
      </c>
    </row>
    <row r="208" spans="1:4" ht="24" customHeight="1" x14ac:dyDescent="0.25">
      <c r="A208" s="36" t="s">
        <v>26</v>
      </c>
      <c r="B208" s="37">
        <f t="shared" si="35"/>
        <v>0</v>
      </c>
      <c r="C208" s="38">
        <f>C207</f>
        <v>0</v>
      </c>
      <c r="D208" s="39">
        <f t="shared" si="36"/>
        <v>0</v>
      </c>
    </row>
    <row r="209" spans="1:8" ht="24" customHeight="1" x14ac:dyDescent="0.25">
      <c r="A209" s="21" t="s">
        <v>27</v>
      </c>
      <c r="B209" s="30">
        <f t="shared" si="35"/>
        <v>0</v>
      </c>
      <c r="C209" s="44">
        <f>C208</f>
        <v>0</v>
      </c>
      <c r="D209" s="22">
        <f t="shared" si="36"/>
        <v>0</v>
      </c>
    </row>
    <row r="211" spans="1:8" ht="24" customHeight="1" x14ac:dyDescent="0.25">
      <c r="A211" s="10" t="s">
        <v>88</v>
      </c>
      <c r="B211" s="10"/>
      <c r="C211" s="10"/>
      <c r="D211" s="10"/>
    </row>
    <row r="212" spans="1:8" ht="24" customHeight="1" x14ac:dyDescent="0.25">
      <c r="A212" s="64" t="s">
        <v>11</v>
      </c>
      <c r="B212" s="65" t="s">
        <v>78</v>
      </c>
      <c r="C212" s="65" t="s">
        <v>81</v>
      </c>
      <c r="D212" s="67" t="s">
        <v>84</v>
      </c>
    </row>
    <row r="213" spans="1:8" ht="24" customHeight="1" x14ac:dyDescent="0.25">
      <c r="A213" s="26" t="s">
        <v>19</v>
      </c>
      <c r="B213" s="27">
        <f t="shared" ref="B213:B218" si="37">D195</f>
        <v>0</v>
      </c>
      <c r="C213" s="27">
        <f t="shared" ref="C213:C218" si="38">D204</f>
        <v>0</v>
      </c>
      <c r="D213" s="34">
        <f t="shared" ref="D213:D218" si="39">B213-C213</f>
        <v>0</v>
      </c>
    </row>
    <row r="214" spans="1:8" ht="24" customHeight="1" x14ac:dyDescent="0.25">
      <c r="A214" s="36" t="s">
        <v>21</v>
      </c>
      <c r="B214" s="37">
        <f t="shared" si="37"/>
        <v>0</v>
      </c>
      <c r="C214" s="37">
        <f t="shared" si="38"/>
        <v>0</v>
      </c>
      <c r="D214" s="39">
        <f t="shared" si="39"/>
        <v>0</v>
      </c>
    </row>
    <row r="215" spans="1:8" ht="24" customHeight="1" x14ac:dyDescent="0.25">
      <c r="A215" s="40" t="s">
        <v>38</v>
      </c>
      <c r="B215" s="41">
        <f t="shared" si="37"/>
        <v>0</v>
      </c>
      <c r="C215" s="41">
        <f t="shared" si="38"/>
        <v>0</v>
      </c>
      <c r="D215" s="43">
        <f t="shared" si="39"/>
        <v>0</v>
      </c>
    </row>
    <row r="216" spans="1:8" ht="24" customHeight="1" x14ac:dyDescent="0.25">
      <c r="A216" s="26" t="s">
        <v>25</v>
      </c>
      <c r="B216" s="27">
        <f t="shared" si="37"/>
        <v>0</v>
      </c>
      <c r="C216" s="27">
        <f t="shared" si="38"/>
        <v>0</v>
      </c>
      <c r="D216" s="34">
        <f t="shared" si="39"/>
        <v>0</v>
      </c>
    </row>
    <row r="217" spans="1:8" ht="24" customHeight="1" x14ac:dyDescent="0.25">
      <c r="A217" s="36" t="s">
        <v>26</v>
      </c>
      <c r="B217" s="37">
        <f t="shared" si="37"/>
        <v>0</v>
      </c>
      <c r="C217" s="37">
        <f t="shared" si="38"/>
        <v>0</v>
      </c>
      <c r="D217" s="39">
        <f t="shared" si="39"/>
        <v>0</v>
      </c>
    </row>
    <row r="218" spans="1:8" ht="24" customHeight="1" x14ac:dyDescent="0.25">
      <c r="A218" s="21" t="s">
        <v>27</v>
      </c>
      <c r="B218" s="30">
        <f t="shared" si="37"/>
        <v>0</v>
      </c>
      <c r="C218" s="30">
        <f t="shared" si="38"/>
        <v>0</v>
      </c>
      <c r="D218" s="22">
        <f t="shared" si="39"/>
        <v>0</v>
      </c>
      <c r="H218" s="17"/>
    </row>
    <row r="220" spans="1:8" ht="51.75" customHeight="1" x14ac:dyDescent="0.25">
      <c r="A220" s="6" t="s">
        <v>89</v>
      </c>
      <c r="B220" s="6"/>
      <c r="C220" s="6"/>
      <c r="D220" s="6"/>
      <c r="E220" s="6"/>
      <c r="F220" s="6"/>
      <c r="G220" s="6"/>
      <c r="H220" s="6"/>
    </row>
    <row r="222" spans="1:8" ht="24" customHeight="1" x14ac:dyDescent="0.25">
      <c r="A222" s="10" t="s">
        <v>90</v>
      </c>
      <c r="B222" s="10"/>
      <c r="C222" s="10"/>
      <c r="D222" s="10"/>
    </row>
    <row r="223" spans="1:8" ht="24" customHeight="1" x14ac:dyDescent="0.25">
      <c r="A223" s="64" t="s">
        <v>11</v>
      </c>
      <c r="B223" s="65"/>
      <c r="C223" s="65"/>
      <c r="D223" s="67"/>
    </row>
    <row r="224" spans="1:8" ht="24" customHeight="1" x14ac:dyDescent="0.25">
      <c r="A224" s="26" t="s">
        <v>19</v>
      </c>
      <c r="B224" s="27"/>
      <c r="C224" s="27"/>
      <c r="D224" s="34"/>
    </row>
    <row r="225" spans="1:8" ht="24" customHeight="1" x14ac:dyDescent="0.25">
      <c r="A225" s="36" t="s">
        <v>21</v>
      </c>
      <c r="B225" s="37"/>
      <c r="C225" s="37"/>
      <c r="D225" s="39"/>
    </row>
    <row r="226" spans="1:8" ht="24" customHeight="1" x14ac:dyDescent="0.25">
      <c r="A226" s="40" t="s">
        <v>38</v>
      </c>
      <c r="B226" s="41"/>
      <c r="C226" s="41"/>
      <c r="D226" s="43"/>
    </row>
    <row r="227" spans="1:8" ht="24" customHeight="1" x14ac:dyDescent="0.25">
      <c r="A227" s="26" t="s">
        <v>25</v>
      </c>
      <c r="B227" s="27"/>
      <c r="C227" s="27"/>
      <c r="D227" s="34"/>
    </row>
    <row r="228" spans="1:8" ht="24" customHeight="1" x14ac:dyDescent="0.25">
      <c r="A228" s="36" t="s">
        <v>26</v>
      </c>
      <c r="B228" s="37"/>
      <c r="C228" s="37"/>
      <c r="D228" s="39"/>
    </row>
    <row r="229" spans="1:8" ht="24" customHeight="1" x14ac:dyDescent="0.25">
      <c r="A229" s="21" t="s">
        <v>27</v>
      </c>
      <c r="B229" s="30"/>
      <c r="C229" s="30"/>
      <c r="D229" s="22"/>
      <c r="H229" s="17"/>
    </row>
    <row r="231" spans="1:8" ht="46.5" customHeight="1" x14ac:dyDescent="0.25">
      <c r="A231" s="6" t="s">
        <v>91</v>
      </c>
      <c r="B231" s="6"/>
      <c r="C231" s="6"/>
      <c r="D231" s="6"/>
      <c r="E231" s="6"/>
      <c r="F231" s="6"/>
      <c r="G231" s="6"/>
      <c r="H231" s="6"/>
    </row>
    <row r="233" spans="1:8" ht="24" customHeight="1" x14ac:dyDescent="0.25">
      <c r="A233" s="10" t="s">
        <v>92</v>
      </c>
      <c r="B233" s="10"/>
      <c r="C233" s="10"/>
      <c r="D233" s="10"/>
    </row>
    <row r="234" spans="1:8" ht="24" customHeight="1" x14ac:dyDescent="0.25">
      <c r="A234" s="64" t="s">
        <v>11</v>
      </c>
      <c r="B234" s="65"/>
      <c r="C234" s="65"/>
      <c r="D234" s="67"/>
    </row>
    <row r="235" spans="1:8" ht="24" customHeight="1" x14ac:dyDescent="0.25">
      <c r="A235" s="26" t="s">
        <v>19</v>
      </c>
      <c r="B235" s="27"/>
      <c r="C235" s="27"/>
      <c r="D235" s="34"/>
    </row>
    <row r="236" spans="1:8" ht="24" customHeight="1" x14ac:dyDescent="0.25">
      <c r="A236" s="36" t="s">
        <v>21</v>
      </c>
      <c r="B236" s="37"/>
      <c r="C236" s="37"/>
      <c r="D236" s="39"/>
    </row>
    <row r="237" spans="1:8" ht="24" customHeight="1" x14ac:dyDescent="0.25">
      <c r="A237" s="40" t="s">
        <v>38</v>
      </c>
      <c r="B237" s="41"/>
      <c r="C237" s="41"/>
      <c r="D237" s="43"/>
    </row>
    <row r="238" spans="1:8" ht="24" customHeight="1" x14ac:dyDescent="0.25">
      <c r="A238" s="26" t="s">
        <v>25</v>
      </c>
      <c r="B238" s="27"/>
      <c r="C238" s="27"/>
      <c r="D238" s="34"/>
    </row>
    <row r="239" spans="1:8" ht="24" customHeight="1" x14ac:dyDescent="0.25">
      <c r="A239" s="36" t="s">
        <v>26</v>
      </c>
      <c r="B239" s="37"/>
      <c r="C239" s="37"/>
      <c r="D239" s="39"/>
    </row>
    <row r="240" spans="1:8" ht="24" customHeight="1" x14ac:dyDescent="0.25">
      <c r="A240" s="21" t="s">
        <v>27</v>
      </c>
      <c r="B240" s="30"/>
      <c r="C240" s="30"/>
      <c r="D240" s="22"/>
      <c r="H240" s="89"/>
    </row>
    <row r="242" spans="1:8" ht="24" customHeight="1" x14ac:dyDescent="0.25">
      <c r="A242" s="10" t="s">
        <v>71</v>
      </c>
      <c r="B242" s="10"/>
      <c r="C242" s="10"/>
      <c r="D242" s="10"/>
      <c r="E242" s="10"/>
      <c r="F242" s="10"/>
      <c r="G242" s="89"/>
    </row>
    <row r="243" spans="1:8" ht="24" customHeight="1" x14ac:dyDescent="0.25">
      <c r="A243" s="64" t="s">
        <v>11</v>
      </c>
      <c r="B243" s="65" t="s">
        <v>93</v>
      </c>
      <c r="C243" s="65" t="s">
        <v>94</v>
      </c>
      <c r="D243" s="65" t="s">
        <v>95</v>
      </c>
      <c r="E243" s="65" t="s">
        <v>96</v>
      </c>
      <c r="F243" s="67" t="s">
        <v>44</v>
      </c>
    </row>
    <row r="244" spans="1:8" ht="24" customHeight="1" x14ac:dyDescent="0.25">
      <c r="A244" s="26" t="s">
        <v>19</v>
      </c>
      <c r="B244" s="27">
        <f t="shared" ref="B244:B249" si="40">D184</f>
        <v>0</v>
      </c>
      <c r="C244" s="27">
        <f t="shared" ref="C244:C249" si="41">D213</f>
        <v>0</v>
      </c>
      <c r="D244" s="27">
        <f t="shared" ref="D244:D249" si="42">D224</f>
        <v>0</v>
      </c>
      <c r="E244" s="27">
        <f t="shared" ref="E244:E249" si="43">D235</f>
        <v>0</v>
      </c>
      <c r="F244" s="34">
        <f t="shared" ref="F244:F249" si="44">SUM(B244:E244)</f>
        <v>0</v>
      </c>
    </row>
    <row r="245" spans="1:8" ht="24" customHeight="1" x14ac:dyDescent="0.25">
      <c r="A245" s="36" t="s">
        <v>21</v>
      </c>
      <c r="B245" s="37">
        <f t="shared" si="40"/>
        <v>0</v>
      </c>
      <c r="C245" s="37">
        <f t="shared" si="41"/>
        <v>0</v>
      </c>
      <c r="D245" s="37">
        <f t="shared" si="42"/>
        <v>0</v>
      </c>
      <c r="E245" s="37">
        <f t="shared" si="43"/>
        <v>0</v>
      </c>
      <c r="F245" s="39">
        <f t="shared" si="44"/>
        <v>0</v>
      </c>
    </row>
    <row r="246" spans="1:8" ht="24" customHeight="1" x14ac:dyDescent="0.25">
      <c r="A246" s="40" t="s">
        <v>38</v>
      </c>
      <c r="B246" s="41">
        <f t="shared" si="40"/>
        <v>0</v>
      </c>
      <c r="C246" s="41">
        <f t="shared" si="41"/>
        <v>0</v>
      </c>
      <c r="D246" s="41">
        <f t="shared" si="42"/>
        <v>0</v>
      </c>
      <c r="E246" s="41">
        <f t="shared" si="43"/>
        <v>0</v>
      </c>
      <c r="F246" s="43">
        <f t="shared" si="44"/>
        <v>0</v>
      </c>
    </row>
    <row r="247" spans="1:8" ht="24" customHeight="1" x14ac:dyDescent="0.25">
      <c r="A247" s="26" t="s">
        <v>25</v>
      </c>
      <c r="B247" s="27">
        <f t="shared" si="40"/>
        <v>0</v>
      </c>
      <c r="C247" s="27">
        <f t="shared" si="41"/>
        <v>0</v>
      </c>
      <c r="D247" s="27">
        <f t="shared" si="42"/>
        <v>0</v>
      </c>
      <c r="E247" s="27">
        <f t="shared" si="43"/>
        <v>0</v>
      </c>
      <c r="F247" s="34">
        <f t="shared" si="44"/>
        <v>0</v>
      </c>
    </row>
    <row r="248" spans="1:8" ht="24" customHeight="1" x14ac:dyDescent="0.25">
      <c r="A248" s="36" t="s">
        <v>26</v>
      </c>
      <c r="B248" s="37">
        <f t="shared" si="40"/>
        <v>0</v>
      </c>
      <c r="C248" s="37">
        <f t="shared" si="41"/>
        <v>0</v>
      </c>
      <c r="D248" s="37">
        <f t="shared" si="42"/>
        <v>0</v>
      </c>
      <c r="E248" s="37">
        <f t="shared" si="43"/>
        <v>0</v>
      </c>
      <c r="F248" s="39">
        <f t="shared" si="44"/>
        <v>0</v>
      </c>
    </row>
    <row r="249" spans="1:8" ht="24" customHeight="1" x14ac:dyDescent="0.25">
      <c r="A249" s="21" t="s">
        <v>27</v>
      </c>
      <c r="B249" s="30">
        <f t="shared" si="40"/>
        <v>0</v>
      </c>
      <c r="C249" s="30">
        <f t="shared" si="41"/>
        <v>0</v>
      </c>
      <c r="D249" s="30">
        <f t="shared" si="42"/>
        <v>0</v>
      </c>
      <c r="E249" s="30">
        <f t="shared" si="43"/>
        <v>0</v>
      </c>
      <c r="F249" s="22">
        <f t="shared" si="44"/>
        <v>0</v>
      </c>
      <c r="H249" s="17"/>
    </row>
    <row r="251" spans="1:8" ht="24" customHeight="1" x14ac:dyDescent="0.25">
      <c r="A251" s="12" t="s">
        <v>45</v>
      </c>
      <c r="B251" s="12"/>
      <c r="C251" s="12"/>
      <c r="D251" s="12"/>
      <c r="E251" s="12"/>
      <c r="F251" s="12"/>
      <c r="G251" s="12"/>
      <c r="H251" s="12"/>
    </row>
    <row r="253" spans="1:8" ht="24" customHeight="1" x14ac:dyDescent="0.25">
      <c r="A253" s="10" t="s">
        <v>45</v>
      </c>
      <c r="B253" s="10"/>
      <c r="C253" s="10"/>
      <c r="D253" s="10"/>
      <c r="E253" s="10"/>
    </row>
    <row r="254" spans="1:8" ht="24" customHeight="1" x14ac:dyDescent="0.25">
      <c r="A254" s="64" t="s">
        <v>11</v>
      </c>
      <c r="B254" s="65" t="s">
        <v>97</v>
      </c>
      <c r="C254" s="65" t="s">
        <v>98</v>
      </c>
      <c r="D254" s="65" t="s">
        <v>99</v>
      </c>
      <c r="E254" s="67" t="s">
        <v>44</v>
      </c>
    </row>
    <row r="255" spans="1:8" ht="24" customHeight="1" x14ac:dyDescent="0.25">
      <c r="A255" s="26" t="s">
        <v>19</v>
      </c>
      <c r="B255" s="27">
        <f t="shared" ref="B255:B260" si="45">E110</f>
        <v>0</v>
      </c>
      <c r="C255" s="27">
        <f t="shared" ref="C255:C260" si="46">D152</f>
        <v>0</v>
      </c>
      <c r="D255" s="27">
        <f t="shared" ref="D255:D260" si="47">F244</f>
        <v>0</v>
      </c>
      <c r="E255" s="34">
        <f t="shared" ref="E255:E260" si="48">SUM(B255:D255)</f>
        <v>0</v>
      </c>
    </row>
    <row r="256" spans="1:8" ht="24" customHeight="1" x14ac:dyDescent="0.25">
      <c r="A256" s="36" t="s">
        <v>21</v>
      </c>
      <c r="B256" s="37">
        <f t="shared" si="45"/>
        <v>0</v>
      </c>
      <c r="C256" s="37">
        <f t="shared" si="46"/>
        <v>0</v>
      </c>
      <c r="D256" s="37">
        <f t="shared" si="47"/>
        <v>0</v>
      </c>
      <c r="E256" s="39">
        <f t="shared" si="48"/>
        <v>0</v>
      </c>
    </row>
    <row r="257" spans="1:8" ht="24" customHeight="1" x14ac:dyDescent="0.25">
      <c r="A257" s="90" t="s">
        <v>38</v>
      </c>
      <c r="B257" s="30">
        <f t="shared" si="45"/>
        <v>0</v>
      </c>
      <c r="C257" s="30">
        <f t="shared" si="46"/>
        <v>0</v>
      </c>
      <c r="D257" s="30">
        <f t="shared" si="47"/>
        <v>0</v>
      </c>
      <c r="E257" s="22">
        <f t="shared" si="48"/>
        <v>0</v>
      </c>
    </row>
    <row r="258" spans="1:8" ht="24" customHeight="1" x14ac:dyDescent="0.25">
      <c r="A258" s="19" t="s">
        <v>25</v>
      </c>
      <c r="B258" s="91">
        <f t="shared" si="45"/>
        <v>0</v>
      </c>
      <c r="C258" s="91">
        <f t="shared" si="46"/>
        <v>0</v>
      </c>
      <c r="D258" s="91">
        <f t="shared" si="47"/>
        <v>0</v>
      </c>
      <c r="E258" s="20">
        <f t="shared" si="48"/>
        <v>0</v>
      </c>
    </row>
    <row r="259" spans="1:8" ht="24" customHeight="1" x14ac:dyDescent="0.25">
      <c r="A259" s="36" t="s">
        <v>26</v>
      </c>
      <c r="B259" s="37">
        <f t="shared" si="45"/>
        <v>0</v>
      </c>
      <c r="C259" s="37">
        <f t="shared" si="46"/>
        <v>0</v>
      </c>
      <c r="D259" s="37">
        <f t="shared" si="47"/>
        <v>0</v>
      </c>
      <c r="E259" s="39">
        <f t="shared" si="48"/>
        <v>0</v>
      </c>
    </row>
    <row r="260" spans="1:8" ht="24" customHeight="1" x14ac:dyDescent="0.25">
      <c r="A260" s="21" t="s">
        <v>27</v>
      </c>
      <c r="B260" s="30">
        <f t="shared" si="45"/>
        <v>0</v>
      </c>
      <c r="C260" s="30">
        <f t="shared" si="46"/>
        <v>0</v>
      </c>
      <c r="D260" s="30">
        <f t="shared" si="47"/>
        <v>0</v>
      </c>
      <c r="E260" s="22">
        <f t="shared" si="48"/>
        <v>0</v>
      </c>
      <c r="H260" s="17"/>
    </row>
    <row r="262" spans="1:8" ht="24" customHeight="1" x14ac:dyDescent="0.25">
      <c r="A262" s="12" t="s">
        <v>100</v>
      </c>
      <c r="B262" s="12"/>
      <c r="C262" s="12"/>
      <c r="D262" s="12"/>
      <c r="E262" s="12"/>
      <c r="F262" s="12"/>
      <c r="G262" s="12"/>
      <c r="H262" s="12"/>
    </row>
    <row r="263" spans="1:8" ht="53.25" customHeight="1" x14ac:dyDescent="0.25">
      <c r="A263" s="13" t="s">
        <v>101</v>
      </c>
      <c r="B263" s="13"/>
      <c r="C263" s="13"/>
      <c r="D263" s="13"/>
      <c r="E263" s="13"/>
      <c r="F263" s="13"/>
      <c r="G263" s="13"/>
      <c r="H263" s="13"/>
    </row>
    <row r="265" spans="1:8" ht="16.5" customHeight="1" x14ac:dyDescent="0.25">
      <c r="A265" s="5" t="s">
        <v>102</v>
      </c>
      <c r="B265" s="5"/>
    </row>
    <row r="266" spans="1:8" ht="15.75" x14ac:dyDescent="0.25">
      <c r="A266" s="53" t="s">
        <v>103</v>
      </c>
      <c r="B266" s="56" t="s">
        <v>13</v>
      </c>
    </row>
    <row r="267" spans="1:8" ht="30" x14ac:dyDescent="0.25">
      <c r="A267" s="92" t="s">
        <v>104</v>
      </c>
      <c r="B267" s="93"/>
    </row>
    <row r="268" spans="1:8" ht="30" x14ac:dyDescent="0.25">
      <c r="A268" s="94" t="s">
        <v>105</v>
      </c>
      <c r="B268" s="95">
        <f>B267*45%</f>
        <v>0</v>
      </c>
    </row>
    <row r="269" spans="1:8" ht="30" x14ac:dyDescent="0.25">
      <c r="A269" s="94" t="s">
        <v>106</v>
      </c>
      <c r="B269" s="95">
        <f>B267*55%</f>
        <v>0</v>
      </c>
    </row>
    <row r="270" spans="1:8" ht="32.25" customHeight="1" x14ac:dyDescent="0.25">
      <c r="A270" s="96" t="s">
        <v>107</v>
      </c>
      <c r="B270" s="75"/>
    </row>
    <row r="271" spans="1:8" ht="30" customHeight="1" x14ac:dyDescent="0.25">
      <c r="A271" s="97" t="s">
        <v>108</v>
      </c>
      <c r="B271" s="98"/>
    </row>
    <row r="272" spans="1:8" ht="24" customHeight="1" x14ac:dyDescent="0.25">
      <c r="A272" s="53" t="s">
        <v>67</v>
      </c>
      <c r="B272" s="99">
        <f>SUM(B268:B271)</f>
        <v>0</v>
      </c>
      <c r="H272" s="17"/>
    </row>
    <row r="274" spans="1:8" ht="24" customHeight="1" x14ac:dyDescent="0.25">
      <c r="A274" s="11" t="s">
        <v>109</v>
      </c>
      <c r="B274" s="11"/>
      <c r="C274" s="11"/>
      <c r="D274" s="11"/>
      <c r="E274" s="11"/>
      <c r="F274" s="11"/>
      <c r="G274" s="11"/>
      <c r="H274" s="11"/>
    </row>
    <row r="275" spans="1:8" ht="106.5" customHeight="1" x14ac:dyDescent="0.25">
      <c r="A275" s="13" t="s">
        <v>110</v>
      </c>
      <c r="B275" s="13"/>
      <c r="C275" s="13"/>
      <c r="D275" s="13"/>
      <c r="E275" s="13"/>
      <c r="F275" s="13"/>
      <c r="G275" s="13"/>
      <c r="H275" s="13"/>
    </row>
    <row r="277" spans="1:8" ht="24" customHeight="1" x14ac:dyDescent="0.25">
      <c r="A277" s="10" t="s">
        <v>111</v>
      </c>
      <c r="B277" s="10"/>
      <c r="C277" s="10"/>
      <c r="D277" s="10"/>
    </row>
    <row r="278" spans="1:8" ht="30" customHeight="1" x14ac:dyDescent="0.25">
      <c r="A278" s="64" t="s">
        <v>11</v>
      </c>
      <c r="B278" s="65" t="s">
        <v>12</v>
      </c>
      <c r="C278" s="66" t="s">
        <v>48</v>
      </c>
      <c r="D278" s="67" t="s">
        <v>18</v>
      </c>
    </row>
    <row r="279" spans="1:8" ht="24" customHeight="1" x14ac:dyDescent="0.25">
      <c r="A279" s="26" t="s">
        <v>19</v>
      </c>
      <c r="B279" s="27">
        <f t="shared" ref="B279:B284" si="49">G70+(E255-D134)</f>
        <v>0</v>
      </c>
      <c r="C279" s="47">
        <v>12</v>
      </c>
      <c r="D279" s="34">
        <f t="shared" ref="D279:D284" si="50">B279/C279</f>
        <v>0</v>
      </c>
    </row>
    <row r="280" spans="1:8" ht="24" customHeight="1" x14ac:dyDescent="0.25">
      <c r="A280" s="36" t="s">
        <v>21</v>
      </c>
      <c r="B280" s="37">
        <f t="shared" si="49"/>
        <v>0</v>
      </c>
      <c r="C280" s="49">
        <f>C279</f>
        <v>12</v>
      </c>
      <c r="D280" s="39">
        <f t="shared" si="50"/>
        <v>0</v>
      </c>
    </row>
    <row r="281" spans="1:8" ht="24" customHeight="1" x14ac:dyDescent="0.25">
      <c r="A281" s="40" t="s">
        <v>38</v>
      </c>
      <c r="B281" s="41">
        <f t="shared" si="49"/>
        <v>0</v>
      </c>
      <c r="C281" s="59">
        <f>C280</f>
        <v>12</v>
      </c>
      <c r="D281" s="43">
        <f t="shared" si="50"/>
        <v>0</v>
      </c>
    </row>
    <row r="282" spans="1:8" ht="24" customHeight="1" x14ac:dyDescent="0.25">
      <c r="A282" s="26" t="s">
        <v>25</v>
      </c>
      <c r="B282" s="27">
        <f t="shared" si="49"/>
        <v>0</v>
      </c>
      <c r="C282" s="47">
        <f>C281</f>
        <v>12</v>
      </c>
      <c r="D282" s="34">
        <f t="shared" si="50"/>
        <v>0</v>
      </c>
    </row>
    <row r="283" spans="1:8" ht="24" customHeight="1" x14ac:dyDescent="0.25">
      <c r="A283" s="36" t="s">
        <v>26</v>
      </c>
      <c r="B283" s="37">
        <f t="shared" si="49"/>
        <v>0</v>
      </c>
      <c r="C283" s="49">
        <f>C282</f>
        <v>12</v>
      </c>
      <c r="D283" s="39">
        <f t="shared" si="50"/>
        <v>0</v>
      </c>
    </row>
    <row r="284" spans="1:8" ht="33" customHeight="1" x14ac:dyDescent="0.25">
      <c r="A284" s="21" t="s">
        <v>27</v>
      </c>
      <c r="B284" s="30">
        <f t="shared" si="49"/>
        <v>0</v>
      </c>
      <c r="C284" s="51">
        <f>C283</f>
        <v>12</v>
      </c>
      <c r="D284" s="22">
        <f t="shared" si="50"/>
        <v>0</v>
      </c>
    </row>
    <row r="286" spans="1:8" ht="25.5" customHeight="1" x14ac:dyDescent="0.25">
      <c r="A286" s="7" t="s">
        <v>112</v>
      </c>
      <c r="B286" s="7"/>
      <c r="C286" s="7"/>
      <c r="D286" s="7"/>
      <c r="E286" s="100"/>
    </row>
    <row r="287" spans="1:8" ht="28.5" customHeight="1" x14ac:dyDescent="0.25">
      <c r="A287" s="64" t="s">
        <v>11</v>
      </c>
      <c r="B287" s="65" t="s">
        <v>12</v>
      </c>
      <c r="C287" s="101" t="s">
        <v>113</v>
      </c>
      <c r="D287" s="67" t="s">
        <v>18</v>
      </c>
    </row>
    <row r="288" spans="1:8" ht="24" customHeight="1" x14ac:dyDescent="0.25">
      <c r="A288" s="26" t="s">
        <v>19</v>
      </c>
      <c r="B288" s="27">
        <f t="shared" ref="B288:B293" si="51">D143</f>
        <v>0</v>
      </c>
      <c r="C288" s="33">
        <v>0.5</v>
      </c>
      <c r="D288" s="34">
        <f t="shared" ref="D288:D293" si="52">B288*C288</f>
        <v>0</v>
      </c>
    </row>
    <row r="289" spans="1:8" ht="24" customHeight="1" x14ac:dyDescent="0.25">
      <c r="A289" s="36" t="s">
        <v>21</v>
      </c>
      <c r="B289" s="37">
        <f t="shared" si="51"/>
        <v>0</v>
      </c>
      <c r="C289" s="38">
        <v>0.5</v>
      </c>
      <c r="D289" s="39">
        <f t="shared" si="52"/>
        <v>0</v>
      </c>
    </row>
    <row r="290" spans="1:8" ht="24" customHeight="1" x14ac:dyDescent="0.25">
      <c r="A290" s="40" t="s">
        <v>38</v>
      </c>
      <c r="B290" s="41">
        <f t="shared" si="51"/>
        <v>0</v>
      </c>
      <c r="C290" s="42">
        <v>0.5</v>
      </c>
      <c r="D290" s="43">
        <f t="shared" si="52"/>
        <v>0</v>
      </c>
    </row>
    <row r="291" spans="1:8" ht="24" customHeight="1" x14ac:dyDescent="0.25">
      <c r="A291" s="26" t="s">
        <v>25</v>
      </c>
      <c r="B291" s="27">
        <f t="shared" si="51"/>
        <v>0</v>
      </c>
      <c r="C291" s="33">
        <v>0.5</v>
      </c>
      <c r="D291" s="34">
        <f t="shared" si="52"/>
        <v>0</v>
      </c>
    </row>
    <row r="292" spans="1:8" ht="24" customHeight="1" x14ac:dyDescent="0.25">
      <c r="A292" s="36" t="s">
        <v>26</v>
      </c>
      <c r="B292" s="37">
        <f t="shared" si="51"/>
        <v>0</v>
      </c>
      <c r="C292" s="38">
        <v>0.5</v>
      </c>
      <c r="D292" s="39">
        <f t="shared" si="52"/>
        <v>0</v>
      </c>
    </row>
    <row r="293" spans="1:8" ht="24" customHeight="1" x14ac:dyDescent="0.25">
      <c r="A293" s="21" t="s">
        <v>27</v>
      </c>
      <c r="B293" s="30">
        <f t="shared" si="51"/>
        <v>0</v>
      </c>
      <c r="C293" s="44">
        <v>0.5</v>
      </c>
      <c r="D293" s="22">
        <f t="shared" si="52"/>
        <v>0</v>
      </c>
    </row>
    <row r="295" spans="1:8" ht="24" customHeight="1" x14ac:dyDescent="0.25">
      <c r="A295" s="10" t="s">
        <v>114</v>
      </c>
      <c r="B295" s="10"/>
      <c r="C295" s="10"/>
      <c r="D295" s="10"/>
    </row>
    <row r="296" spans="1:8" ht="24" customHeight="1" x14ac:dyDescent="0.25">
      <c r="A296" s="64" t="s">
        <v>11</v>
      </c>
      <c r="B296" s="65" t="s">
        <v>12</v>
      </c>
      <c r="C296" s="65" t="s">
        <v>13</v>
      </c>
      <c r="D296" s="67" t="s">
        <v>18</v>
      </c>
    </row>
    <row r="297" spans="1:8" ht="24" customHeight="1" x14ac:dyDescent="0.25">
      <c r="A297" s="26" t="s">
        <v>19</v>
      </c>
      <c r="B297" s="27">
        <f t="shared" ref="B297:B302" si="53">D279+D288</f>
        <v>0</v>
      </c>
      <c r="C297" s="68">
        <f t="shared" ref="C297:C302" si="54">$B$268</f>
        <v>0</v>
      </c>
      <c r="D297" s="34">
        <f t="shared" ref="D297:D302" si="55">B297*C297</f>
        <v>0</v>
      </c>
    </row>
    <row r="298" spans="1:8" ht="24" customHeight="1" x14ac:dyDescent="0.25">
      <c r="A298" s="36" t="s">
        <v>21</v>
      </c>
      <c r="B298" s="37">
        <f t="shared" si="53"/>
        <v>0</v>
      </c>
      <c r="C298" s="69">
        <f t="shared" si="54"/>
        <v>0</v>
      </c>
      <c r="D298" s="39">
        <f t="shared" si="55"/>
        <v>0</v>
      </c>
    </row>
    <row r="299" spans="1:8" ht="24" customHeight="1" x14ac:dyDescent="0.25">
      <c r="A299" s="40" t="s">
        <v>38</v>
      </c>
      <c r="B299" s="41">
        <f t="shared" si="53"/>
        <v>0</v>
      </c>
      <c r="C299" s="70">
        <f t="shared" si="54"/>
        <v>0</v>
      </c>
      <c r="D299" s="43">
        <f t="shared" si="55"/>
        <v>0</v>
      </c>
    </row>
    <row r="300" spans="1:8" ht="24" customHeight="1" x14ac:dyDescent="0.25">
      <c r="A300" s="26" t="s">
        <v>25</v>
      </c>
      <c r="B300" s="27">
        <f t="shared" si="53"/>
        <v>0</v>
      </c>
      <c r="C300" s="68">
        <f t="shared" si="54"/>
        <v>0</v>
      </c>
      <c r="D300" s="34">
        <f t="shared" si="55"/>
        <v>0</v>
      </c>
    </row>
    <row r="301" spans="1:8" ht="24" customHeight="1" x14ac:dyDescent="0.25">
      <c r="A301" s="36" t="s">
        <v>26</v>
      </c>
      <c r="B301" s="37">
        <f t="shared" si="53"/>
        <v>0</v>
      </c>
      <c r="C301" s="69">
        <f t="shared" si="54"/>
        <v>0</v>
      </c>
      <c r="D301" s="39">
        <f t="shared" si="55"/>
        <v>0</v>
      </c>
    </row>
    <row r="302" spans="1:8" ht="24" customHeight="1" x14ac:dyDescent="0.25">
      <c r="A302" s="21" t="s">
        <v>27</v>
      </c>
      <c r="B302" s="30">
        <f t="shared" si="53"/>
        <v>0</v>
      </c>
      <c r="C302" s="71">
        <f t="shared" si="54"/>
        <v>0</v>
      </c>
      <c r="D302" s="22">
        <f t="shared" si="55"/>
        <v>0</v>
      </c>
      <c r="H302" s="17"/>
    </row>
    <row r="304" spans="1:8" ht="24" customHeight="1" x14ac:dyDescent="0.25">
      <c r="A304" s="11" t="s">
        <v>115</v>
      </c>
      <c r="B304" s="11"/>
      <c r="C304" s="11"/>
      <c r="D304" s="11"/>
      <c r="E304" s="11"/>
      <c r="F304" s="11"/>
      <c r="G304" s="11"/>
      <c r="H304" s="11"/>
    </row>
    <row r="305" spans="1:8" ht="101.25" customHeight="1" x14ac:dyDescent="0.25">
      <c r="A305" s="13" t="s">
        <v>116</v>
      </c>
      <c r="B305" s="13"/>
      <c r="C305" s="13"/>
      <c r="D305" s="13"/>
      <c r="E305" s="13"/>
      <c r="F305" s="13"/>
      <c r="G305" s="13"/>
      <c r="H305" s="13"/>
    </row>
    <row r="307" spans="1:8" ht="24" customHeight="1" x14ac:dyDescent="0.25">
      <c r="A307" s="10" t="s">
        <v>117</v>
      </c>
      <c r="B307" s="10"/>
      <c r="C307" s="10"/>
      <c r="D307" s="10"/>
    </row>
    <row r="308" spans="1:8" ht="33" customHeight="1" x14ac:dyDescent="0.25">
      <c r="A308" s="64" t="s">
        <v>11</v>
      </c>
      <c r="B308" s="65" t="s">
        <v>12</v>
      </c>
      <c r="C308" s="66" t="s">
        <v>48</v>
      </c>
      <c r="D308" s="67" t="s">
        <v>18</v>
      </c>
    </row>
    <row r="309" spans="1:8" ht="24" customHeight="1" x14ac:dyDescent="0.25">
      <c r="A309" s="26" t="s">
        <v>19</v>
      </c>
      <c r="B309" s="27">
        <f t="shared" ref="B309:B314" si="56">G70+E255</f>
        <v>0</v>
      </c>
      <c r="C309" s="47">
        <v>12</v>
      </c>
      <c r="D309" s="34">
        <f t="shared" ref="D309:D314" si="57">B309/C309</f>
        <v>0</v>
      </c>
    </row>
    <row r="310" spans="1:8" ht="24" customHeight="1" x14ac:dyDescent="0.25">
      <c r="A310" s="36" t="s">
        <v>21</v>
      </c>
      <c r="B310" s="37">
        <f t="shared" si="56"/>
        <v>0</v>
      </c>
      <c r="C310" s="49">
        <v>12</v>
      </c>
      <c r="D310" s="39">
        <f t="shared" si="57"/>
        <v>0</v>
      </c>
    </row>
    <row r="311" spans="1:8" ht="24" customHeight="1" x14ac:dyDescent="0.25">
      <c r="A311" s="40" t="s">
        <v>38</v>
      </c>
      <c r="B311" s="41">
        <f t="shared" si="56"/>
        <v>0</v>
      </c>
      <c r="C311" s="59">
        <v>12</v>
      </c>
      <c r="D311" s="43">
        <f t="shared" si="57"/>
        <v>0</v>
      </c>
    </row>
    <row r="312" spans="1:8" ht="24" customHeight="1" x14ac:dyDescent="0.25">
      <c r="A312" s="26" t="s">
        <v>25</v>
      </c>
      <c r="B312" s="27">
        <f t="shared" si="56"/>
        <v>0</v>
      </c>
      <c r="C312" s="47">
        <v>12</v>
      </c>
      <c r="D312" s="34">
        <f t="shared" si="57"/>
        <v>0</v>
      </c>
    </row>
    <row r="313" spans="1:8" ht="24" customHeight="1" x14ac:dyDescent="0.25">
      <c r="A313" s="36" t="s">
        <v>26</v>
      </c>
      <c r="B313" s="37">
        <f t="shared" si="56"/>
        <v>0</v>
      </c>
      <c r="C313" s="49">
        <v>12</v>
      </c>
      <c r="D313" s="39">
        <f t="shared" si="57"/>
        <v>0</v>
      </c>
    </row>
    <row r="314" spans="1:8" ht="36.75" customHeight="1" x14ac:dyDescent="0.25">
      <c r="A314" s="21" t="s">
        <v>27</v>
      </c>
      <c r="B314" s="30">
        <f t="shared" si="56"/>
        <v>0</v>
      </c>
      <c r="C314" s="51">
        <v>12</v>
      </c>
      <c r="D314" s="22">
        <f t="shared" si="57"/>
        <v>0</v>
      </c>
    </row>
    <row r="316" spans="1:8" ht="31.5" customHeight="1" x14ac:dyDescent="0.25">
      <c r="A316" s="7" t="s">
        <v>118</v>
      </c>
      <c r="B316" s="7"/>
      <c r="C316" s="7"/>
      <c r="D316" s="7"/>
    </row>
    <row r="317" spans="1:8" ht="34.5" customHeight="1" x14ac:dyDescent="0.25">
      <c r="A317" s="64" t="s">
        <v>11</v>
      </c>
      <c r="B317" s="65" t="s">
        <v>12</v>
      </c>
      <c r="C317" s="101" t="s">
        <v>113</v>
      </c>
      <c r="D317" s="67" t="s">
        <v>18</v>
      </c>
    </row>
    <row r="318" spans="1:8" ht="24" customHeight="1" x14ac:dyDescent="0.25">
      <c r="A318" s="26" t="s">
        <v>19</v>
      </c>
      <c r="B318" s="27">
        <f t="shared" ref="B318:B323" si="58">D143</f>
        <v>0</v>
      </c>
      <c r="C318" s="33">
        <v>0.5</v>
      </c>
      <c r="D318" s="34">
        <f t="shared" ref="D318:D323" si="59">B318*C318</f>
        <v>0</v>
      </c>
    </row>
    <row r="319" spans="1:8" ht="24" customHeight="1" x14ac:dyDescent="0.25">
      <c r="A319" s="36" t="s">
        <v>21</v>
      </c>
      <c r="B319" s="37">
        <f t="shared" si="58"/>
        <v>0</v>
      </c>
      <c r="C319" s="38">
        <v>0.5</v>
      </c>
      <c r="D319" s="39">
        <f t="shared" si="59"/>
        <v>0</v>
      </c>
    </row>
    <row r="320" spans="1:8" ht="24" customHeight="1" x14ac:dyDescent="0.25">
      <c r="A320" s="40" t="s">
        <v>38</v>
      </c>
      <c r="B320" s="41">
        <f t="shared" si="58"/>
        <v>0</v>
      </c>
      <c r="C320" s="42">
        <v>0.5</v>
      </c>
      <c r="D320" s="43">
        <f t="shared" si="59"/>
        <v>0</v>
      </c>
    </row>
    <row r="321" spans="1:8" ht="24" customHeight="1" x14ac:dyDescent="0.25">
      <c r="A321" s="26" t="s">
        <v>25</v>
      </c>
      <c r="B321" s="27">
        <f t="shared" si="58"/>
        <v>0</v>
      </c>
      <c r="C321" s="33">
        <v>0.5</v>
      </c>
      <c r="D321" s="34">
        <f t="shared" si="59"/>
        <v>0</v>
      </c>
    </row>
    <row r="322" spans="1:8" ht="24" customHeight="1" x14ac:dyDescent="0.25">
      <c r="A322" s="36" t="s">
        <v>26</v>
      </c>
      <c r="B322" s="37">
        <f t="shared" si="58"/>
        <v>0</v>
      </c>
      <c r="C322" s="38">
        <v>0.5</v>
      </c>
      <c r="D322" s="39">
        <f t="shared" si="59"/>
        <v>0</v>
      </c>
    </row>
    <row r="323" spans="1:8" ht="24" customHeight="1" x14ac:dyDescent="0.25">
      <c r="A323" s="21" t="s">
        <v>27</v>
      </c>
      <c r="B323" s="30">
        <f t="shared" si="58"/>
        <v>0</v>
      </c>
      <c r="C323" s="44">
        <v>0.5</v>
      </c>
      <c r="D323" s="22">
        <f t="shared" si="59"/>
        <v>0</v>
      </c>
    </row>
    <row r="325" spans="1:8" ht="24" customHeight="1" x14ac:dyDescent="0.25">
      <c r="A325" s="10" t="s">
        <v>119</v>
      </c>
      <c r="B325" s="10"/>
      <c r="C325" s="10"/>
      <c r="D325" s="10"/>
    </row>
    <row r="326" spans="1:8" ht="24" customHeight="1" x14ac:dyDescent="0.25">
      <c r="A326" s="64" t="s">
        <v>11</v>
      </c>
      <c r="B326" s="65" t="s">
        <v>12</v>
      </c>
      <c r="C326" s="65" t="s">
        <v>13</v>
      </c>
      <c r="D326" s="67" t="s">
        <v>18</v>
      </c>
    </row>
    <row r="327" spans="1:8" ht="24" customHeight="1" x14ac:dyDescent="0.25">
      <c r="A327" s="26" t="s">
        <v>19</v>
      </c>
      <c r="B327" s="27">
        <f t="shared" ref="B327:B332" si="60">D309+D318</f>
        <v>0</v>
      </c>
      <c r="C327" s="68">
        <f t="shared" ref="C327:C332" si="61">$B$269</f>
        <v>0</v>
      </c>
      <c r="D327" s="34">
        <f t="shared" ref="D327:D332" si="62">B327*C327</f>
        <v>0</v>
      </c>
    </row>
    <row r="328" spans="1:8" ht="24" customHeight="1" x14ac:dyDescent="0.25">
      <c r="A328" s="36" t="s">
        <v>21</v>
      </c>
      <c r="B328" s="37">
        <f t="shared" si="60"/>
        <v>0</v>
      </c>
      <c r="C328" s="69">
        <f t="shared" si="61"/>
        <v>0</v>
      </c>
      <c r="D328" s="39">
        <f t="shared" si="62"/>
        <v>0</v>
      </c>
    </row>
    <row r="329" spans="1:8" ht="24" customHeight="1" x14ac:dyDescent="0.25">
      <c r="A329" s="21" t="s">
        <v>38</v>
      </c>
      <c r="B329" s="30">
        <f t="shared" si="60"/>
        <v>0</v>
      </c>
      <c r="C329" s="71">
        <f t="shared" si="61"/>
        <v>0</v>
      </c>
      <c r="D329" s="22">
        <f t="shared" si="62"/>
        <v>0</v>
      </c>
    </row>
    <row r="330" spans="1:8" ht="24" customHeight="1" x14ac:dyDescent="0.25">
      <c r="A330" s="26" t="s">
        <v>25</v>
      </c>
      <c r="B330" s="27">
        <f t="shared" si="60"/>
        <v>0</v>
      </c>
      <c r="C330" s="68">
        <f t="shared" si="61"/>
        <v>0</v>
      </c>
      <c r="D330" s="34">
        <f t="shared" si="62"/>
        <v>0</v>
      </c>
    </row>
    <row r="331" spans="1:8" ht="24" customHeight="1" x14ac:dyDescent="0.25">
      <c r="A331" s="36" t="s">
        <v>26</v>
      </c>
      <c r="B331" s="37">
        <f t="shared" si="60"/>
        <v>0</v>
      </c>
      <c r="C331" s="69">
        <f t="shared" si="61"/>
        <v>0</v>
      </c>
      <c r="D331" s="39">
        <f t="shared" si="62"/>
        <v>0</v>
      </c>
    </row>
    <row r="332" spans="1:8" ht="24" customHeight="1" x14ac:dyDescent="0.25">
      <c r="A332" s="21" t="s">
        <v>27</v>
      </c>
      <c r="B332" s="30">
        <f t="shared" si="60"/>
        <v>0</v>
      </c>
      <c r="C332" s="71">
        <f t="shared" si="61"/>
        <v>0</v>
      </c>
      <c r="D332" s="22">
        <f t="shared" si="62"/>
        <v>0</v>
      </c>
      <c r="H332" s="17"/>
    </row>
    <row r="334" spans="1:8" ht="24" customHeight="1" x14ac:dyDescent="0.25">
      <c r="A334" s="11" t="s">
        <v>120</v>
      </c>
      <c r="B334" s="11"/>
      <c r="C334" s="11"/>
      <c r="D334" s="11"/>
      <c r="E334" s="11"/>
      <c r="F334" s="11"/>
      <c r="G334" s="11"/>
      <c r="H334" s="11"/>
    </row>
    <row r="335" spans="1:8" ht="75" customHeight="1" x14ac:dyDescent="0.25">
      <c r="A335" s="4" t="s">
        <v>121</v>
      </c>
      <c r="B335" s="4"/>
      <c r="C335" s="4"/>
      <c r="D335" s="4"/>
      <c r="E335" s="4"/>
      <c r="F335" s="4"/>
      <c r="G335" s="4"/>
      <c r="H335" s="4"/>
    </row>
    <row r="336" spans="1:8" ht="20.25" customHeight="1" x14ac:dyDescent="0.25"/>
    <row r="337" spans="1:5" ht="24" customHeight="1" x14ac:dyDescent="0.25">
      <c r="A337" s="10" t="s">
        <v>122</v>
      </c>
      <c r="B337" s="10"/>
      <c r="C337" s="10"/>
      <c r="D337" s="10"/>
      <c r="E337" s="10"/>
    </row>
    <row r="338" spans="1:5" ht="46.5" customHeight="1" x14ac:dyDescent="0.25">
      <c r="A338" s="64" t="s">
        <v>11</v>
      </c>
      <c r="B338" s="66" t="s">
        <v>123</v>
      </c>
      <c r="C338" s="66" t="s">
        <v>124</v>
      </c>
      <c r="D338" s="66" t="s">
        <v>125</v>
      </c>
      <c r="E338" s="67" t="s">
        <v>18</v>
      </c>
    </row>
    <row r="339" spans="1:5" ht="24" customHeight="1" x14ac:dyDescent="0.25">
      <c r="A339" s="26" t="s">
        <v>19</v>
      </c>
      <c r="B339" s="102">
        <f t="shared" ref="B339:B344" si="63">-D83</f>
        <v>0</v>
      </c>
      <c r="C339" s="102">
        <f t="shared" ref="C339:C344" si="64">-D92</f>
        <v>0</v>
      </c>
      <c r="D339" s="102">
        <f t="shared" ref="D339:D344" si="65">-E101</f>
        <v>0</v>
      </c>
      <c r="E339" s="103">
        <f t="shared" ref="E339:E344" si="66">SUM(B339:D339)</f>
        <v>0</v>
      </c>
    </row>
    <row r="340" spans="1:5" ht="24" customHeight="1" x14ac:dyDescent="0.25">
      <c r="A340" s="36" t="s">
        <v>21</v>
      </c>
      <c r="B340" s="104">
        <f t="shared" si="63"/>
        <v>0</v>
      </c>
      <c r="C340" s="104">
        <f t="shared" si="64"/>
        <v>0</v>
      </c>
      <c r="D340" s="104">
        <f t="shared" si="65"/>
        <v>0</v>
      </c>
      <c r="E340" s="105">
        <f t="shared" si="66"/>
        <v>0</v>
      </c>
    </row>
    <row r="341" spans="1:5" ht="24" customHeight="1" x14ac:dyDescent="0.25">
      <c r="A341" s="40" t="s">
        <v>38</v>
      </c>
      <c r="B341" s="106">
        <f t="shared" si="63"/>
        <v>0</v>
      </c>
      <c r="C341" s="106">
        <f t="shared" si="64"/>
        <v>0</v>
      </c>
      <c r="D341" s="106">
        <f t="shared" si="65"/>
        <v>0</v>
      </c>
      <c r="E341" s="107">
        <f t="shared" si="66"/>
        <v>0</v>
      </c>
    </row>
    <row r="342" spans="1:5" ht="24" customHeight="1" x14ac:dyDescent="0.25">
      <c r="A342" s="26" t="s">
        <v>25</v>
      </c>
      <c r="B342" s="102">
        <f t="shared" si="63"/>
        <v>0</v>
      </c>
      <c r="C342" s="102">
        <f t="shared" si="64"/>
        <v>0</v>
      </c>
      <c r="D342" s="102">
        <f t="shared" si="65"/>
        <v>0</v>
      </c>
      <c r="E342" s="103">
        <f t="shared" si="66"/>
        <v>0</v>
      </c>
    </row>
    <row r="343" spans="1:5" ht="24" customHeight="1" x14ac:dyDescent="0.25">
      <c r="A343" s="36" t="s">
        <v>26</v>
      </c>
      <c r="B343" s="104">
        <f t="shared" si="63"/>
        <v>0</v>
      </c>
      <c r="C343" s="104">
        <f t="shared" si="64"/>
        <v>0</v>
      </c>
      <c r="D343" s="104">
        <f t="shared" si="65"/>
        <v>0</v>
      </c>
      <c r="E343" s="105">
        <f t="shared" si="66"/>
        <v>0</v>
      </c>
    </row>
    <row r="344" spans="1:5" ht="24" customHeight="1" x14ac:dyDescent="0.25">
      <c r="A344" s="21" t="s">
        <v>27</v>
      </c>
      <c r="B344" s="108">
        <f t="shared" si="63"/>
        <v>0</v>
      </c>
      <c r="C344" s="108">
        <f t="shared" si="64"/>
        <v>0</v>
      </c>
      <c r="D344" s="108">
        <f t="shared" si="65"/>
        <v>0</v>
      </c>
      <c r="E344" s="109">
        <f t="shared" si="66"/>
        <v>0</v>
      </c>
    </row>
    <row r="346" spans="1:5" ht="24" customHeight="1" x14ac:dyDescent="0.25">
      <c r="A346" s="10" t="s">
        <v>126</v>
      </c>
      <c r="B346" s="10"/>
      <c r="C346" s="10"/>
      <c r="D346" s="10"/>
    </row>
    <row r="347" spans="1:5" ht="24" customHeight="1" x14ac:dyDescent="0.25">
      <c r="A347" s="64" t="s">
        <v>11</v>
      </c>
      <c r="B347" s="65" t="s">
        <v>30</v>
      </c>
      <c r="C347" s="65" t="s">
        <v>13</v>
      </c>
      <c r="D347" s="67" t="s">
        <v>18</v>
      </c>
    </row>
    <row r="348" spans="1:5" ht="24" customHeight="1" x14ac:dyDescent="0.25">
      <c r="A348" s="26" t="s">
        <v>19</v>
      </c>
      <c r="B348" s="102">
        <f t="shared" ref="B348:B353" si="67">E339</f>
        <v>0</v>
      </c>
      <c r="C348" s="68">
        <f t="shared" ref="C348:C353" si="68">$B$270</f>
        <v>0</v>
      </c>
      <c r="D348" s="103">
        <f t="shared" ref="D348:D353" si="69">B348*C348</f>
        <v>0</v>
      </c>
    </row>
    <row r="349" spans="1:5" ht="24" customHeight="1" x14ac:dyDescent="0.25">
      <c r="A349" s="36" t="s">
        <v>21</v>
      </c>
      <c r="B349" s="104">
        <f t="shared" si="67"/>
        <v>0</v>
      </c>
      <c r="C349" s="69">
        <f t="shared" si="68"/>
        <v>0</v>
      </c>
      <c r="D349" s="105">
        <f t="shared" si="69"/>
        <v>0</v>
      </c>
    </row>
    <row r="350" spans="1:5" ht="24" customHeight="1" x14ac:dyDescent="0.25">
      <c r="A350" s="21" t="s">
        <v>38</v>
      </c>
      <c r="B350" s="108">
        <f t="shared" si="67"/>
        <v>0</v>
      </c>
      <c r="C350" s="71">
        <f t="shared" si="68"/>
        <v>0</v>
      </c>
      <c r="D350" s="109">
        <f t="shared" si="69"/>
        <v>0</v>
      </c>
    </row>
    <row r="351" spans="1:5" ht="24" customHeight="1" x14ac:dyDescent="0.25">
      <c r="A351" s="26" t="s">
        <v>25</v>
      </c>
      <c r="B351" s="102">
        <f t="shared" si="67"/>
        <v>0</v>
      </c>
      <c r="C351" s="68">
        <f t="shared" si="68"/>
        <v>0</v>
      </c>
      <c r="D351" s="103">
        <f t="shared" si="69"/>
        <v>0</v>
      </c>
    </row>
    <row r="352" spans="1:5" ht="24" customHeight="1" x14ac:dyDescent="0.25">
      <c r="A352" s="36" t="s">
        <v>26</v>
      </c>
      <c r="B352" s="104">
        <f t="shared" si="67"/>
        <v>0</v>
      </c>
      <c r="C352" s="69">
        <f t="shared" si="68"/>
        <v>0</v>
      </c>
      <c r="D352" s="105">
        <f t="shared" si="69"/>
        <v>0</v>
      </c>
    </row>
    <row r="353" spans="1:8" ht="24" customHeight="1" x14ac:dyDescent="0.25">
      <c r="A353" s="21" t="s">
        <v>27</v>
      </c>
      <c r="B353" s="108">
        <f t="shared" si="67"/>
        <v>0</v>
      </c>
      <c r="C353" s="71">
        <f t="shared" si="68"/>
        <v>0</v>
      </c>
      <c r="D353" s="109">
        <f t="shared" si="69"/>
        <v>0</v>
      </c>
      <c r="H353" s="17"/>
    </row>
    <row r="355" spans="1:8" ht="24" customHeight="1" x14ac:dyDescent="0.25">
      <c r="A355" s="12" t="s">
        <v>100</v>
      </c>
      <c r="B355" s="12"/>
      <c r="C355" s="12"/>
      <c r="D355" s="12"/>
      <c r="E355" s="12"/>
      <c r="F355" s="12"/>
      <c r="G355" s="12"/>
      <c r="H355" s="12"/>
    </row>
    <row r="357" spans="1:8" ht="24" customHeight="1" x14ac:dyDescent="0.25">
      <c r="A357" s="10" t="s">
        <v>100</v>
      </c>
      <c r="B357" s="10"/>
      <c r="C357" s="10"/>
      <c r="D357" s="10"/>
      <c r="E357" s="10"/>
    </row>
    <row r="358" spans="1:8" ht="24" customHeight="1" x14ac:dyDescent="0.25">
      <c r="A358" s="64" t="s">
        <v>11</v>
      </c>
      <c r="B358" s="65" t="s">
        <v>127</v>
      </c>
      <c r="C358" s="65" t="s">
        <v>128</v>
      </c>
      <c r="D358" s="65" t="s">
        <v>129</v>
      </c>
      <c r="E358" s="67" t="s">
        <v>44</v>
      </c>
    </row>
    <row r="359" spans="1:8" ht="24" customHeight="1" x14ac:dyDescent="0.25">
      <c r="A359" s="26" t="s">
        <v>19</v>
      </c>
      <c r="B359" s="27">
        <f t="shared" ref="B359:B364" si="70">D297</f>
        <v>0</v>
      </c>
      <c r="C359" s="27">
        <f t="shared" ref="C359:C364" si="71">D327</f>
        <v>0</v>
      </c>
      <c r="D359" s="102">
        <f t="shared" ref="D359:D364" si="72">D348</f>
        <v>0</v>
      </c>
      <c r="E359" s="34">
        <f t="shared" ref="E359:E364" si="73">SUM(B359:D359)</f>
        <v>0</v>
      </c>
    </row>
    <row r="360" spans="1:8" ht="24" customHeight="1" x14ac:dyDescent="0.25">
      <c r="A360" s="36" t="s">
        <v>21</v>
      </c>
      <c r="B360" s="37">
        <f t="shared" si="70"/>
        <v>0</v>
      </c>
      <c r="C360" s="37">
        <f t="shared" si="71"/>
        <v>0</v>
      </c>
      <c r="D360" s="104">
        <f t="shared" si="72"/>
        <v>0</v>
      </c>
      <c r="E360" s="39">
        <f t="shared" si="73"/>
        <v>0</v>
      </c>
    </row>
    <row r="361" spans="1:8" ht="24" customHeight="1" x14ac:dyDescent="0.25">
      <c r="A361" s="40" t="s">
        <v>38</v>
      </c>
      <c r="B361" s="41">
        <f t="shared" si="70"/>
        <v>0</v>
      </c>
      <c r="C361" s="41">
        <f t="shared" si="71"/>
        <v>0</v>
      </c>
      <c r="D361" s="106">
        <f t="shared" si="72"/>
        <v>0</v>
      </c>
      <c r="E361" s="43">
        <f t="shared" si="73"/>
        <v>0</v>
      </c>
    </row>
    <row r="362" spans="1:8" ht="24" customHeight="1" x14ac:dyDescent="0.25">
      <c r="A362" s="26" t="s">
        <v>25</v>
      </c>
      <c r="B362" s="27">
        <f t="shared" si="70"/>
        <v>0</v>
      </c>
      <c r="C362" s="27">
        <f t="shared" si="71"/>
        <v>0</v>
      </c>
      <c r="D362" s="102">
        <f t="shared" si="72"/>
        <v>0</v>
      </c>
      <c r="E362" s="34">
        <f t="shared" si="73"/>
        <v>0</v>
      </c>
    </row>
    <row r="363" spans="1:8" ht="24" customHeight="1" x14ac:dyDescent="0.25">
      <c r="A363" s="36" t="s">
        <v>26</v>
      </c>
      <c r="B363" s="37">
        <f t="shared" si="70"/>
        <v>0</v>
      </c>
      <c r="C363" s="37">
        <f t="shared" si="71"/>
        <v>0</v>
      </c>
      <c r="D363" s="104">
        <f t="shared" si="72"/>
        <v>0</v>
      </c>
      <c r="E363" s="39">
        <f t="shared" si="73"/>
        <v>0</v>
      </c>
    </row>
    <row r="364" spans="1:8" ht="24" customHeight="1" x14ac:dyDescent="0.25">
      <c r="A364" s="21" t="s">
        <v>27</v>
      </c>
      <c r="B364" s="30">
        <f t="shared" si="70"/>
        <v>0</v>
      </c>
      <c r="C364" s="30">
        <f t="shared" si="71"/>
        <v>0</v>
      </c>
      <c r="D364" s="108">
        <f t="shared" si="72"/>
        <v>0</v>
      </c>
      <c r="E364" s="22">
        <f t="shared" si="73"/>
        <v>0</v>
      </c>
      <c r="H364" s="17"/>
    </row>
    <row r="366" spans="1:8" ht="24" customHeight="1" x14ac:dyDescent="0.25">
      <c r="A366" s="12" t="s">
        <v>130</v>
      </c>
      <c r="B366" s="12"/>
      <c r="C366" s="12"/>
      <c r="D366" s="12"/>
      <c r="E366" s="12"/>
      <c r="F366" s="12"/>
      <c r="G366" s="12"/>
      <c r="H366" s="12"/>
    </row>
    <row r="367" spans="1:8" ht="144" customHeight="1" x14ac:dyDescent="0.25">
      <c r="A367" s="13" t="s">
        <v>131</v>
      </c>
      <c r="B367" s="13"/>
      <c r="C367" s="13"/>
      <c r="D367" s="13"/>
      <c r="E367" s="13"/>
      <c r="F367" s="13"/>
      <c r="G367" s="13"/>
      <c r="H367" s="13"/>
    </row>
    <row r="369" spans="1:7" ht="24" customHeight="1" x14ac:dyDescent="0.25">
      <c r="A369" s="7" t="s">
        <v>132</v>
      </c>
      <c r="B369" s="7"/>
      <c r="C369" s="7"/>
      <c r="D369" s="7"/>
      <c r="E369" s="7"/>
      <c r="F369" s="7"/>
      <c r="G369" s="7"/>
    </row>
    <row r="370" spans="1:7" ht="16.5" customHeight="1" x14ac:dyDescent="0.25">
      <c r="A370" s="7" t="s">
        <v>133</v>
      </c>
      <c r="B370" s="7"/>
      <c r="C370" s="7"/>
      <c r="D370" s="7"/>
      <c r="E370" s="7"/>
      <c r="F370" s="7"/>
      <c r="G370" s="7"/>
    </row>
    <row r="371" spans="1:7" ht="24" customHeight="1" x14ac:dyDescent="0.25">
      <c r="A371" s="7" t="s">
        <v>11</v>
      </c>
      <c r="B371" s="7" t="s">
        <v>134</v>
      </c>
      <c r="C371" s="7" t="s">
        <v>135</v>
      </c>
      <c r="D371" s="110" t="s">
        <v>136</v>
      </c>
      <c r="E371" s="111"/>
      <c r="F371" s="110" t="s">
        <v>137</v>
      </c>
      <c r="G371" s="111"/>
    </row>
    <row r="372" spans="1:7" ht="31.5" customHeight="1" x14ac:dyDescent="0.25">
      <c r="A372" s="7"/>
      <c r="B372" s="7"/>
      <c r="C372" s="7"/>
      <c r="D372" s="62" t="s">
        <v>138</v>
      </c>
      <c r="E372" s="62" t="s">
        <v>139</v>
      </c>
      <c r="F372" s="62" t="s">
        <v>138</v>
      </c>
      <c r="G372" s="62" t="s">
        <v>139</v>
      </c>
    </row>
    <row r="373" spans="1:7" ht="24" customHeight="1" x14ac:dyDescent="0.25">
      <c r="A373" s="112" t="s">
        <v>140</v>
      </c>
      <c r="B373" s="113"/>
      <c r="C373" s="114">
        <v>30</v>
      </c>
      <c r="D373" s="115">
        <v>0.5</v>
      </c>
      <c r="E373" s="116">
        <f t="shared" ref="E373:E384" si="74">(B373*C373)*D373</f>
        <v>0</v>
      </c>
      <c r="F373" s="117">
        <f>(252/365)</f>
        <v>0.69041095890410964</v>
      </c>
      <c r="G373" s="116">
        <f t="shared" ref="G373:G384" si="75">(B373*C373)*F373</f>
        <v>0</v>
      </c>
    </row>
    <row r="374" spans="1:7" ht="24" customHeight="1" x14ac:dyDescent="0.25">
      <c r="A374" s="96" t="s">
        <v>141</v>
      </c>
      <c r="B374" s="118"/>
      <c r="C374" s="119">
        <v>1</v>
      </c>
      <c r="D374" s="120">
        <v>1</v>
      </c>
      <c r="E374" s="121">
        <f t="shared" si="74"/>
        <v>0</v>
      </c>
      <c r="F374" s="122">
        <v>1</v>
      </c>
      <c r="G374" s="121">
        <f t="shared" si="75"/>
        <v>0</v>
      </c>
    </row>
    <row r="375" spans="1:7" ht="24" customHeight="1" x14ac:dyDescent="0.25">
      <c r="A375" s="96" t="s">
        <v>142</v>
      </c>
      <c r="B375" s="118"/>
      <c r="C375" s="119">
        <v>15</v>
      </c>
      <c r="D375" s="120">
        <v>0.5</v>
      </c>
      <c r="E375" s="121">
        <f t="shared" si="74"/>
        <v>0</v>
      </c>
      <c r="F375" s="122">
        <f>(252/365)</f>
        <v>0.69041095890410964</v>
      </c>
      <c r="G375" s="121">
        <f t="shared" si="75"/>
        <v>0</v>
      </c>
    </row>
    <row r="376" spans="1:7" ht="24" customHeight="1" x14ac:dyDescent="0.25">
      <c r="A376" s="96" t="s">
        <v>143</v>
      </c>
      <c r="B376" s="118"/>
      <c r="C376" s="119">
        <v>5</v>
      </c>
      <c r="D376" s="120">
        <v>0.5</v>
      </c>
      <c r="E376" s="121">
        <f t="shared" si="74"/>
        <v>0</v>
      </c>
      <c r="F376" s="122">
        <f>(252/365)</f>
        <v>0.69041095890410964</v>
      </c>
      <c r="G376" s="121">
        <f t="shared" si="75"/>
        <v>0</v>
      </c>
    </row>
    <row r="377" spans="1:7" ht="24" customHeight="1" x14ac:dyDescent="0.25">
      <c r="A377" s="96" t="s">
        <v>144</v>
      </c>
      <c r="B377" s="118"/>
      <c r="C377" s="119">
        <v>2</v>
      </c>
      <c r="D377" s="120">
        <v>1</v>
      </c>
      <c r="E377" s="121">
        <f t="shared" si="74"/>
        <v>0</v>
      </c>
      <c r="F377" s="122">
        <v>1</v>
      </c>
      <c r="G377" s="121">
        <f t="shared" si="75"/>
        <v>0</v>
      </c>
    </row>
    <row r="378" spans="1:7" ht="24" customHeight="1" x14ac:dyDescent="0.25">
      <c r="A378" s="96" t="s">
        <v>145</v>
      </c>
      <c r="B378" s="118"/>
      <c r="C378" s="119">
        <v>2</v>
      </c>
      <c r="D378" s="120">
        <v>0.5</v>
      </c>
      <c r="E378" s="121">
        <f t="shared" si="74"/>
        <v>0</v>
      </c>
      <c r="F378" s="122">
        <f>(252/365)</f>
        <v>0.69041095890410964</v>
      </c>
      <c r="G378" s="121">
        <f t="shared" si="75"/>
        <v>0</v>
      </c>
    </row>
    <row r="379" spans="1:7" ht="24" customHeight="1" x14ac:dyDescent="0.25">
      <c r="A379" s="96" t="s">
        <v>146</v>
      </c>
      <c r="B379" s="118"/>
      <c r="C379" s="119">
        <v>3</v>
      </c>
      <c r="D379" s="120">
        <v>0.5</v>
      </c>
      <c r="E379" s="121">
        <f t="shared" si="74"/>
        <v>0</v>
      </c>
      <c r="F379" s="122">
        <v>1</v>
      </c>
      <c r="G379" s="121">
        <f t="shared" si="75"/>
        <v>0</v>
      </c>
    </row>
    <row r="380" spans="1:7" ht="24" customHeight="1" x14ac:dyDescent="0.25">
      <c r="A380" s="96" t="s">
        <v>147</v>
      </c>
      <c r="B380" s="118"/>
      <c r="C380" s="119">
        <v>1</v>
      </c>
      <c r="D380" s="120">
        <v>1</v>
      </c>
      <c r="E380" s="121">
        <f t="shared" si="74"/>
        <v>0</v>
      </c>
      <c r="F380" s="122">
        <v>1</v>
      </c>
      <c r="G380" s="121">
        <f t="shared" si="75"/>
        <v>0</v>
      </c>
    </row>
    <row r="381" spans="1:7" ht="24" customHeight="1" x14ac:dyDescent="0.25">
      <c r="A381" s="96" t="s">
        <v>148</v>
      </c>
      <c r="B381" s="118"/>
      <c r="C381" s="119">
        <v>1</v>
      </c>
      <c r="D381" s="120">
        <v>1</v>
      </c>
      <c r="E381" s="121">
        <f t="shared" si="74"/>
        <v>0</v>
      </c>
      <c r="F381" s="122">
        <v>1</v>
      </c>
      <c r="G381" s="121">
        <f t="shared" si="75"/>
        <v>0</v>
      </c>
    </row>
    <row r="382" spans="1:7" ht="24" customHeight="1" x14ac:dyDescent="0.25">
      <c r="A382" s="96" t="s">
        <v>149</v>
      </c>
      <c r="B382" s="118"/>
      <c r="C382" s="119">
        <v>20</v>
      </c>
      <c r="D382" s="120">
        <v>0.5</v>
      </c>
      <c r="E382" s="121">
        <f t="shared" si="74"/>
        <v>0</v>
      </c>
      <c r="F382" s="122">
        <f>(252/365)</f>
        <v>0.69041095890410964</v>
      </c>
      <c r="G382" s="121">
        <f t="shared" si="75"/>
        <v>0</v>
      </c>
    </row>
    <row r="383" spans="1:7" ht="24" customHeight="1" x14ac:dyDescent="0.25">
      <c r="A383" s="96" t="s">
        <v>150</v>
      </c>
      <c r="B383" s="118"/>
      <c r="C383" s="119">
        <v>180</v>
      </c>
      <c r="D383" s="120">
        <v>0.5</v>
      </c>
      <c r="E383" s="121">
        <f t="shared" si="74"/>
        <v>0</v>
      </c>
      <c r="F383" s="122">
        <f>(252/365)</f>
        <v>0.69041095890410964</v>
      </c>
      <c r="G383" s="121">
        <f t="shared" si="75"/>
        <v>0</v>
      </c>
    </row>
    <row r="384" spans="1:7" ht="24" customHeight="1" x14ac:dyDescent="0.25">
      <c r="A384" s="123" t="s">
        <v>151</v>
      </c>
      <c r="B384" s="124"/>
      <c r="C384" s="125">
        <v>6</v>
      </c>
      <c r="D384" s="126">
        <v>1</v>
      </c>
      <c r="E384" s="127">
        <f t="shared" si="74"/>
        <v>0</v>
      </c>
      <c r="F384" s="128">
        <v>1</v>
      </c>
      <c r="G384" s="127">
        <f t="shared" si="75"/>
        <v>0</v>
      </c>
    </row>
    <row r="386" spans="1:4" ht="24" customHeight="1" x14ac:dyDescent="0.25">
      <c r="A386" s="7" t="s">
        <v>152</v>
      </c>
      <c r="B386" s="7"/>
      <c r="C386" s="7"/>
      <c r="D386" s="7"/>
    </row>
    <row r="387" spans="1:4" ht="24" customHeight="1" x14ac:dyDescent="0.25">
      <c r="A387" s="3" t="s">
        <v>153</v>
      </c>
      <c r="B387" s="7" t="s">
        <v>154</v>
      </c>
      <c r="C387" s="7"/>
      <c r="D387" s="7"/>
    </row>
    <row r="388" spans="1:4" ht="26.25" customHeight="1" x14ac:dyDescent="0.25">
      <c r="A388" s="3"/>
      <c r="B388" s="129" t="s">
        <v>155</v>
      </c>
      <c r="C388" s="55" t="s">
        <v>156</v>
      </c>
      <c r="D388" s="130" t="s">
        <v>157</v>
      </c>
    </row>
    <row r="389" spans="1:4" ht="24" customHeight="1" x14ac:dyDescent="0.25">
      <c r="A389" s="112" t="s">
        <v>140</v>
      </c>
      <c r="B389" s="113">
        <f t="shared" ref="B389:B400" si="76">E373</f>
        <v>0</v>
      </c>
      <c r="C389" s="113">
        <f t="shared" ref="C389:C400" si="77">E373</f>
        <v>0</v>
      </c>
      <c r="D389" s="131">
        <f t="shared" ref="D389:D400" si="78">G373</f>
        <v>0</v>
      </c>
    </row>
    <row r="390" spans="1:4" ht="24" customHeight="1" x14ac:dyDescent="0.25">
      <c r="A390" s="96" t="s">
        <v>141</v>
      </c>
      <c r="B390" s="118">
        <f t="shared" si="76"/>
        <v>0</v>
      </c>
      <c r="C390" s="118">
        <f t="shared" si="77"/>
        <v>0</v>
      </c>
      <c r="D390" s="132">
        <f t="shared" si="78"/>
        <v>0</v>
      </c>
    </row>
    <row r="391" spans="1:4" ht="24" customHeight="1" x14ac:dyDescent="0.25">
      <c r="A391" s="96" t="s">
        <v>142</v>
      </c>
      <c r="B391" s="118">
        <f t="shared" si="76"/>
        <v>0</v>
      </c>
      <c r="C391" s="118">
        <f t="shared" si="77"/>
        <v>0</v>
      </c>
      <c r="D391" s="132">
        <f t="shared" si="78"/>
        <v>0</v>
      </c>
    </row>
    <row r="392" spans="1:4" ht="24" customHeight="1" x14ac:dyDescent="0.25">
      <c r="A392" s="96" t="s">
        <v>143</v>
      </c>
      <c r="B392" s="118">
        <f t="shared" si="76"/>
        <v>0</v>
      </c>
      <c r="C392" s="118">
        <f t="shared" si="77"/>
        <v>0</v>
      </c>
      <c r="D392" s="132">
        <f t="shared" si="78"/>
        <v>0</v>
      </c>
    </row>
    <row r="393" spans="1:4" ht="24" customHeight="1" x14ac:dyDescent="0.25">
      <c r="A393" s="96" t="s">
        <v>144</v>
      </c>
      <c r="B393" s="118">
        <f t="shared" si="76"/>
        <v>0</v>
      </c>
      <c r="C393" s="118">
        <f t="shared" si="77"/>
        <v>0</v>
      </c>
      <c r="D393" s="132">
        <f t="shared" si="78"/>
        <v>0</v>
      </c>
    </row>
    <row r="394" spans="1:4" ht="24" customHeight="1" x14ac:dyDescent="0.25">
      <c r="A394" s="96" t="s">
        <v>145</v>
      </c>
      <c r="B394" s="118">
        <f t="shared" si="76"/>
        <v>0</v>
      </c>
      <c r="C394" s="118">
        <f t="shared" si="77"/>
        <v>0</v>
      </c>
      <c r="D394" s="132">
        <f t="shared" si="78"/>
        <v>0</v>
      </c>
    </row>
    <row r="395" spans="1:4" ht="24" customHeight="1" x14ac:dyDescent="0.25">
      <c r="A395" s="96" t="s">
        <v>146</v>
      </c>
      <c r="B395" s="118">
        <f t="shared" si="76"/>
        <v>0</v>
      </c>
      <c r="C395" s="118">
        <f t="shared" si="77"/>
        <v>0</v>
      </c>
      <c r="D395" s="132">
        <f t="shared" si="78"/>
        <v>0</v>
      </c>
    </row>
    <row r="396" spans="1:4" ht="24" customHeight="1" x14ac:dyDescent="0.25">
      <c r="A396" s="96" t="s">
        <v>147</v>
      </c>
      <c r="B396" s="118">
        <f t="shared" si="76"/>
        <v>0</v>
      </c>
      <c r="C396" s="118">
        <f t="shared" si="77"/>
        <v>0</v>
      </c>
      <c r="D396" s="132">
        <f t="shared" si="78"/>
        <v>0</v>
      </c>
    </row>
    <row r="397" spans="1:4" ht="24" customHeight="1" x14ac:dyDescent="0.25">
      <c r="A397" s="96" t="s">
        <v>148</v>
      </c>
      <c r="B397" s="118">
        <f t="shared" si="76"/>
        <v>0</v>
      </c>
      <c r="C397" s="118">
        <f t="shared" si="77"/>
        <v>0</v>
      </c>
      <c r="D397" s="132">
        <f t="shared" si="78"/>
        <v>0</v>
      </c>
    </row>
    <row r="398" spans="1:4" ht="24" customHeight="1" x14ac:dyDescent="0.25">
      <c r="A398" s="96" t="s">
        <v>149</v>
      </c>
      <c r="B398" s="118">
        <f t="shared" si="76"/>
        <v>0</v>
      </c>
      <c r="C398" s="118">
        <f t="shared" si="77"/>
        <v>0</v>
      </c>
      <c r="D398" s="132">
        <f t="shared" si="78"/>
        <v>0</v>
      </c>
    </row>
    <row r="399" spans="1:4" ht="24" customHeight="1" x14ac:dyDescent="0.25">
      <c r="A399" s="96" t="s">
        <v>150</v>
      </c>
      <c r="B399" s="118">
        <f t="shared" si="76"/>
        <v>0</v>
      </c>
      <c r="C399" s="118">
        <f t="shared" si="77"/>
        <v>0</v>
      </c>
      <c r="D399" s="132">
        <f t="shared" si="78"/>
        <v>0</v>
      </c>
    </row>
    <row r="400" spans="1:4" ht="24" customHeight="1" x14ac:dyDescent="0.25">
      <c r="A400" s="97" t="s">
        <v>151</v>
      </c>
      <c r="B400" s="133">
        <f t="shared" si="76"/>
        <v>0</v>
      </c>
      <c r="C400" s="133">
        <f t="shared" si="77"/>
        <v>0</v>
      </c>
      <c r="D400" s="134">
        <f t="shared" si="78"/>
        <v>0</v>
      </c>
    </row>
    <row r="401" spans="1:8" ht="24" customHeight="1" x14ac:dyDescent="0.25">
      <c r="A401" s="129" t="s">
        <v>158</v>
      </c>
      <c r="B401" s="135">
        <f>SUM(B389:B400)</f>
        <v>0</v>
      </c>
      <c r="C401" s="135">
        <f>SUM(C389:C400)</f>
        <v>0</v>
      </c>
      <c r="D401" s="136">
        <f>SUM(D389:D400)</f>
        <v>0</v>
      </c>
      <c r="H401" s="17"/>
    </row>
    <row r="403" spans="1:8" ht="24" customHeight="1" x14ac:dyDescent="0.25">
      <c r="A403" s="11" t="s">
        <v>159</v>
      </c>
      <c r="B403" s="11"/>
      <c r="C403" s="11"/>
      <c r="D403" s="11"/>
      <c r="E403" s="11"/>
      <c r="F403" s="11"/>
      <c r="G403" s="11"/>
      <c r="H403" s="11"/>
    </row>
    <row r="404" spans="1:8" ht="78" customHeight="1" x14ac:dyDescent="0.25">
      <c r="A404" s="13" t="s">
        <v>160</v>
      </c>
      <c r="B404" s="13"/>
      <c r="C404" s="13"/>
      <c r="D404" s="13"/>
      <c r="E404" s="13"/>
      <c r="F404" s="13"/>
      <c r="G404" s="13"/>
      <c r="H404" s="13"/>
    </row>
    <row r="406" spans="1:8" ht="24" customHeight="1" x14ac:dyDescent="0.25">
      <c r="A406" s="10" t="s">
        <v>161</v>
      </c>
      <c r="B406" s="10"/>
      <c r="C406" s="10"/>
      <c r="D406" s="10"/>
    </row>
    <row r="407" spans="1:8" ht="24" customHeight="1" x14ac:dyDescent="0.25">
      <c r="A407" s="64" t="s">
        <v>11</v>
      </c>
      <c r="B407" s="65" t="s">
        <v>12</v>
      </c>
      <c r="C407" s="65" t="s">
        <v>162</v>
      </c>
      <c r="D407" s="67" t="s">
        <v>163</v>
      </c>
    </row>
    <row r="408" spans="1:8" ht="24" customHeight="1" x14ac:dyDescent="0.25">
      <c r="A408" s="26" t="s">
        <v>19</v>
      </c>
      <c r="B408" s="27">
        <f t="shared" ref="B408:B413" si="79">G70+E255+E359</f>
        <v>0</v>
      </c>
      <c r="C408" s="84">
        <v>30</v>
      </c>
      <c r="D408" s="34">
        <f t="shared" ref="D408:D413" si="80">B408/C408</f>
        <v>0</v>
      </c>
    </row>
    <row r="409" spans="1:8" ht="24" customHeight="1" x14ac:dyDescent="0.25">
      <c r="A409" s="36" t="s">
        <v>21</v>
      </c>
      <c r="B409" s="37">
        <f t="shared" si="79"/>
        <v>0</v>
      </c>
      <c r="C409" s="85">
        <f>C408</f>
        <v>30</v>
      </c>
      <c r="D409" s="39">
        <f t="shared" si="80"/>
        <v>0</v>
      </c>
    </row>
    <row r="410" spans="1:8" ht="24" customHeight="1" x14ac:dyDescent="0.25">
      <c r="A410" s="40" t="s">
        <v>38</v>
      </c>
      <c r="B410" s="41">
        <f t="shared" si="79"/>
        <v>0</v>
      </c>
      <c r="C410" s="86">
        <f>C409</f>
        <v>30</v>
      </c>
      <c r="D410" s="43">
        <f t="shared" si="80"/>
        <v>0</v>
      </c>
    </row>
    <row r="411" spans="1:8" ht="24" customHeight="1" x14ac:dyDescent="0.25">
      <c r="A411" s="26" t="s">
        <v>25</v>
      </c>
      <c r="B411" s="27">
        <f t="shared" si="79"/>
        <v>0</v>
      </c>
      <c r="C411" s="84">
        <f>C410</f>
        <v>30</v>
      </c>
      <c r="D411" s="34">
        <f t="shared" si="80"/>
        <v>0</v>
      </c>
    </row>
    <row r="412" spans="1:8" ht="24" customHeight="1" x14ac:dyDescent="0.25">
      <c r="A412" s="36" t="s">
        <v>26</v>
      </c>
      <c r="B412" s="37">
        <f t="shared" si="79"/>
        <v>0</v>
      </c>
      <c r="C412" s="85">
        <f>C411</f>
        <v>30</v>
      </c>
      <c r="D412" s="39">
        <f t="shared" si="80"/>
        <v>0</v>
      </c>
    </row>
    <row r="413" spans="1:8" ht="24" customHeight="1" x14ac:dyDescent="0.25">
      <c r="A413" s="21" t="s">
        <v>27</v>
      </c>
      <c r="B413" s="30">
        <f t="shared" si="79"/>
        <v>0</v>
      </c>
      <c r="C413" s="87">
        <f>C412</f>
        <v>30</v>
      </c>
      <c r="D413" s="22">
        <f t="shared" si="80"/>
        <v>0</v>
      </c>
    </row>
    <row r="415" spans="1:8" ht="24" customHeight="1" x14ac:dyDescent="0.25">
      <c r="A415" s="7" t="s">
        <v>159</v>
      </c>
      <c r="B415" s="7"/>
      <c r="C415" s="7"/>
      <c r="D415" s="7"/>
      <c r="E415" s="7"/>
    </row>
    <row r="416" spans="1:8" ht="33.75" customHeight="1" x14ac:dyDescent="0.25">
      <c r="A416" s="64" t="s">
        <v>11</v>
      </c>
      <c r="B416" s="65" t="s">
        <v>163</v>
      </c>
      <c r="C416" s="66" t="s">
        <v>164</v>
      </c>
      <c r="D416" s="65" t="s">
        <v>165</v>
      </c>
      <c r="E416" s="67" t="s">
        <v>166</v>
      </c>
    </row>
    <row r="417" spans="1:8" ht="24" customHeight="1" x14ac:dyDescent="0.25">
      <c r="A417" s="26" t="s">
        <v>19</v>
      </c>
      <c r="B417" s="27">
        <f t="shared" ref="B417:B422" si="81">D408</f>
        <v>0</v>
      </c>
      <c r="C417" s="137">
        <f>B401</f>
        <v>0</v>
      </c>
      <c r="D417" s="27">
        <f t="shared" ref="D417:D422" si="82">B417*C417</f>
        <v>0</v>
      </c>
      <c r="E417" s="34">
        <f t="shared" ref="E417:E422" si="83">D417/12</f>
        <v>0</v>
      </c>
    </row>
    <row r="418" spans="1:8" ht="24" customHeight="1" x14ac:dyDescent="0.25">
      <c r="A418" s="36" t="s">
        <v>21</v>
      </c>
      <c r="B418" s="37">
        <f t="shared" si="81"/>
        <v>0</v>
      </c>
      <c r="C418" s="138">
        <f>C401</f>
        <v>0</v>
      </c>
      <c r="D418" s="37">
        <f t="shared" si="82"/>
        <v>0</v>
      </c>
      <c r="E418" s="39">
        <f t="shared" si="83"/>
        <v>0</v>
      </c>
    </row>
    <row r="419" spans="1:8" ht="24" customHeight="1" x14ac:dyDescent="0.25">
      <c r="A419" s="40" t="s">
        <v>38</v>
      </c>
      <c r="B419" s="41">
        <f t="shared" si="81"/>
        <v>0</v>
      </c>
      <c r="C419" s="139">
        <f>D401</f>
        <v>0</v>
      </c>
      <c r="D419" s="41">
        <f t="shared" si="82"/>
        <v>0</v>
      </c>
      <c r="E419" s="43">
        <f t="shared" si="83"/>
        <v>0</v>
      </c>
    </row>
    <row r="420" spans="1:8" ht="24" customHeight="1" x14ac:dyDescent="0.25">
      <c r="A420" s="26" t="s">
        <v>25</v>
      </c>
      <c r="B420" s="27">
        <f t="shared" si="81"/>
        <v>0</v>
      </c>
      <c r="C420" s="137">
        <f>B401</f>
        <v>0</v>
      </c>
      <c r="D420" s="27">
        <f t="shared" si="82"/>
        <v>0</v>
      </c>
      <c r="E420" s="34">
        <f t="shared" si="83"/>
        <v>0</v>
      </c>
    </row>
    <row r="421" spans="1:8" ht="24" customHeight="1" x14ac:dyDescent="0.25">
      <c r="A421" s="36" t="s">
        <v>26</v>
      </c>
      <c r="B421" s="37">
        <f t="shared" si="81"/>
        <v>0</v>
      </c>
      <c r="C421" s="138">
        <f>C401</f>
        <v>0</v>
      </c>
      <c r="D421" s="37">
        <f t="shared" si="82"/>
        <v>0</v>
      </c>
      <c r="E421" s="39">
        <f t="shared" si="83"/>
        <v>0</v>
      </c>
    </row>
    <row r="422" spans="1:8" ht="24" customHeight="1" x14ac:dyDescent="0.25">
      <c r="A422" s="21" t="s">
        <v>27</v>
      </c>
      <c r="B422" s="30">
        <f t="shared" si="81"/>
        <v>0</v>
      </c>
      <c r="C422" s="140">
        <f>D401</f>
        <v>0</v>
      </c>
      <c r="D422" s="30">
        <f t="shared" si="82"/>
        <v>0</v>
      </c>
      <c r="E422" s="22">
        <f t="shared" si="83"/>
        <v>0</v>
      </c>
      <c r="H422" s="17"/>
    </row>
    <row r="424" spans="1:8" ht="24" customHeight="1" x14ac:dyDescent="0.25">
      <c r="A424" s="11" t="s">
        <v>167</v>
      </c>
      <c r="B424" s="11"/>
      <c r="C424" s="11"/>
      <c r="D424" s="11"/>
      <c r="E424" s="11"/>
      <c r="F424" s="11"/>
      <c r="G424" s="11"/>
      <c r="H424" s="11"/>
    </row>
    <row r="425" spans="1:8" ht="119.25" customHeight="1" x14ac:dyDescent="0.25">
      <c r="A425" s="13" t="s">
        <v>168</v>
      </c>
      <c r="B425" s="13"/>
      <c r="C425" s="13"/>
      <c r="D425" s="13"/>
      <c r="E425" s="13"/>
      <c r="F425" s="13"/>
      <c r="G425" s="13"/>
      <c r="H425" s="13"/>
    </row>
    <row r="426" spans="1:8" ht="22.5" customHeight="1" x14ac:dyDescent="0.25"/>
    <row r="427" spans="1:8" ht="22.5" customHeight="1" x14ac:dyDescent="0.25">
      <c r="A427" s="10" t="s">
        <v>169</v>
      </c>
      <c r="B427" s="10"/>
      <c r="C427" s="10"/>
      <c r="D427" s="10"/>
    </row>
    <row r="428" spans="1:8" ht="22.5" customHeight="1" x14ac:dyDescent="0.25">
      <c r="A428" s="64" t="s">
        <v>11</v>
      </c>
      <c r="B428" s="65" t="s">
        <v>12</v>
      </c>
      <c r="C428" s="65" t="s">
        <v>170</v>
      </c>
      <c r="D428" s="67" t="s">
        <v>18</v>
      </c>
    </row>
    <row r="429" spans="1:8" ht="22.5" customHeight="1" x14ac:dyDescent="0.25">
      <c r="A429" s="26" t="s">
        <v>19</v>
      </c>
      <c r="B429" s="27">
        <f>G70+E255+E359</f>
        <v>0</v>
      </c>
      <c r="C429" s="47">
        <v>220</v>
      </c>
      <c r="D429" s="34">
        <f>B429/C429</f>
        <v>0</v>
      </c>
    </row>
    <row r="430" spans="1:8" ht="24" customHeight="1" x14ac:dyDescent="0.25">
      <c r="A430" s="36" t="s">
        <v>21</v>
      </c>
      <c r="B430" s="37">
        <f>G71+E256+E360</f>
        <v>0</v>
      </c>
      <c r="C430" s="49">
        <f>C429</f>
        <v>220</v>
      </c>
      <c r="D430" s="39">
        <f>B430/C430</f>
        <v>0</v>
      </c>
    </row>
    <row r="431" spans="1:8" ht="24" customHeight="1" x14ac:dyDescent="0.25">
      <c r="A431" s="21" t="s">
        <v>38</v>
      </c>
      <c r="B431" s="30">
        <f>G72+E257+E361</f>
        <v>0</v>
      </c>
      <c r="C431" s="51">
        <f>C430</f>
        <v>220</v>
      </c>
      <c r="D431" s="22">
        <f>B431/C431</f>
        <v>0</v>
      </c>
    </row>
    <row r="433" spans="1:8" ht="24" customHeight="1" x14ac:dyDescent="0.25">
      <c r="A433" s="2" t="s">
        <v>167</v>
      </c>
      <c r="B433" s="2"/>
      <c r="C433" s="2"/>
      <c r="D433" s="2"/>
    </row>
    <row r="434" spans="1:8" ht="30" customHeight="1" x14ac:dyDescent="0.25">
      <c r="A434" s="53" t="s">
        <v>11</v>
      </c>
      <c r="B434" s="54" t="s">
        <v>171</v>
      </c>
      <c r="C434" s="55" t="s">
        <v>172</v>
      </c>
      <c r="D434" s="56" t="s">
        <v>18</v>
      </c>
    </row>
    <row r="435" spans="1:8" ht="24" customHeight="1" x14ac:dyDescent="0.25">
      <c r="A435" s="26" t="s">
        <v>19</v>
      </c>
      <c r="B435" s="27">
        <f>D429</f>
        <v>0</v>
      </c>
      <c r="C435" s="47">
        <v>15</v>
      </c>
      <c r="D435" s="34">
        <f>B435*C435</f>
        <v>0</v>
      </c>
    </row>
    <row r="436" spans="1:8" ht="24" customHeight="1" x14ac:dyDescent="0.25">
      <c r="A436" s="36" t="s">
        <v>21</v>
      </c>
      <c r="B436" s="37">
        <f>D430</f>
        <v>0</v>
      </c>
      <c r="C436" s="49">
        <v>15</v>
      </c>
      <c r="D436" s="39">
        <f>B436*C436</f>
        <v>0</v>
      </c>
    </row>
    <row r="437" spans="1:8" ht="24" customHeight="1" x14ac:dyDescent="0.25">
      <c r="A437" s="21" t="s">
        <v>38</v>
      </c>
      <c r="B437" s="30">
        <f>D431</f>
        <v>0</v>
      </c>
      <c r="C437" s="51">
        <v>22</v>
      </c>
      <c r="D437" s="22">
        <f>B437*C437</f>
        <v>0</v>
      </c>
      <c r="H437" s="17"/>
    </row>
    <row r="439" spans="1:8" ht="24" customHeight="1" x14ac:dyDescent="0.25">
      <c r="A439" s="12" t="s">
        <v>130</v>
      </c>
      <c r="B439" s="12"/>
      <c r="C439" s="12"/>
      <c r="D439" s="12"/>
      <c r="E439" s="12"/>
      <c r="F439" s="12"/>
      <c r="G439" s="12"/>
      <c r="H439" s="12"/>
    </row>
    <row r="441" spans="1:8" ht="24" customHeight="1" x14ac:dyDescent="0.25">
      <c r="A441" s="10" t="s">
        <v>130</v>
      </c>
      <c r="B441" s="10"/>
      <c r="C441" s="10"/>
      <c r="D441" s="10"/>
    </row>
    <row r="442" spans="1:8" ht="24" customHeight="1" x14ac:dyDescent="0.25">
      <c r="A442" s="64" t="s">
        <v>11</v>
      </c>
      <c r="B442" s="65" t="s">
        <v>173</v>
      </c>
      <c r="C442" s="65" t="s">
        <v>174</v>
      </c>
      <c r="D442" s="67" t="s">
        <v>44</v>
      </c>
    </row>
    <row r="443" spans="1:8" ht="24" customHeight="1" x14ac:dyDescent="0.25">
      <c r="A443" s="26" t="s">
        <v>19</v>
      </c>
      <c r="B443" s="27">
        <f t="shared" ref="B443:B448" si="84">E417</f>
        <v>0</v>
      </c>
      <c r="C443" s="27">
        <f>D435</f>
        <v>0</v>
      </c>
      <c r="D443" s="34">
        <f t="shared" ref="D443:D448" si="85">B443+C443</f>
        <v>0</v>
      </c>
    </row>
    <row r="444" spans="1:8" ht="24" customHeight="1" x14ac:dyDescent="0.25">
      <c r="A444" s="36" t="s">
        <v>21</v>
      </c>
      <c r="B444" s="37">
        <f t="shared" si="84"/>
        <v>0</v>
      </c>
      <c r="C444" s="37">
        <f>D436</f>
        <v>0</v>
      </c>
      <c r="D444" s="39">
        <f t="shared" si="85"/>
        <v>0</v>
      </c>
    </row>
    <row r="445" spans="1:8" ht="24" customHeight="1" x14ac:dyDescent="0.25">
      <c r="A445" s="40" t="s">
        <v>38</v>
      </c>
      <c r="B445" s="41">
        <f t="shared" si="84"/>
        <v>0</v>
      </c>
      <c r="C445" s="41">
        <f>D437</f>
        <v>0</v>
      </c>
      <c r="D445" s="43">
        <f t="shared" si="85"/>
        <v>0</v>
      </c>
    </row>
    <row r="446" spans="1:8" ht="24" customHeight="1" x14ac:dyDescent="0.25">
      <c r="A446" s="26" t="s">
        <v>25</v>
      </c>
      <c r="B446" s="27">
        <f t="shared" si="84"/>
        <v>0</v>
      </c>
      <c r="C446" s="47"/>
      <c r="D446" s="34">
        <f t="shared" si="85"/>
        <v>0</v>
      </c>
    </row>
    <row r="447" spans="1:8" ht="24" customHeight="1" x14ac:dyDescent="0.25">
      <c r="A447" s="36" t="s">
        <v>26</v>
      </c>
      <c r="B447" s="37">
        <f t="shared" si="84"/>
        <v>0</v>
      </c>
      <c r="C447" s="49"/>
      <c r="D447" s="39">
        <f t="shared" si="85"/>
        <v>0</v>
      </c>
    </row>
    <row r="448" spans="1:8" ht="24" customHeight="1" x14ac:dyDescent="0.25">
      <c r="A448" s="21" t="s">
        <v>27</v>
      </c>
      <c r="B448" s="30">
        <f t="shared" si="84"/>
        <v>0</v>
      </c>
      <c r="C448" s="51"/>
      <c r="D448" s="22">
        <f t="shared" si="85"/>
        <v>0</v>
      </c>
    </row>
    <row r="450" spans="1:8" ht="24" customHeight="1" x14ac:dyDescent="0.25">
      <c r="A450" s="12" t="s">
        <v>175</v>
      </c>
      <c r="B450" s="12"/>
      <c r="C450" s="12"/>
      <c r="D450" s="12"/>
      <c r="E450" s="12"/>
      <c r="F450" s="12"/>
      <c r="G450" s="12"/>
      <c r="H450" s="12"/>
    </row>
    <row r="451" spans="1:8" ht="24" customHeight="1" x14ac:dyDescent="0.25">
      <c r="A451" s="17"/>
      <c r="B451" s="17"/>
      <c r="C451" s="17"/>
      <c r="E451" s="17"/>
    </row>
    <row r="452" spans="1:8" ht="24" customHeight="1" x14ac:dyDescent="0.25">
      <c r="A452" s="1" t="s">
        <v>176</v>
      </c>
      <c r="B452" s="1"/>
      <c r="C452" s="1"/>
      <c r="D452" s="1"/>
      <c r="E452" s="142"/>
    </row>
    <row r="453" spans="1:8" ht="24" customHeight="1" x14ac:dyDescent="0.25">
      <c r="A453" s="141" t="s">
        <v>177</v>
      </c>
      <c r="B453" s="143" t="s">
        <v>178</v>
      </c>
      <c r="C453" s="143" t="s">
        <v>179</v>
      </c>
      <c r="D453" s="18" t="s">
        <v>18</v>
      </c>
    </row>
    <row r="454" spans="1:8" ht="24" customHeight="1" x14ac:dyDescent="0.25">
      <c r="A454" s="19" t="s">
        <v>180</v>
      </c>
      <c r="B454" s="144"/>
      <c r="C454" s="145"/>
      <c r="D454" s="146"/>
    </row>
    <row r="455" spans="1:8" ht="24" customHeight="1" x14ac:dyDescent="0.25">
      <c r="A455" s="36" t="s">
        <v>181</v>
      </c>
      <c r="B455" s="147"/>
      <c r="C455" s="148"/>
      <c r="D455" s="149"/>
    </row>
    <row r="456" spans="1:8" ht="24" customHeight="1" x14ac:dyDescent="0.25">
      <c r="A456" s="36" t="s">
        <v>182</v>
      </c>
      <c r="B456" s="147"/>
      <c r="C456" s="148"/>
      <c r="D456" s="149"/>
    </row>
    <row r="457" spans="1:8" ht="24" customHeight="1" x14ac:dyDescent="0.25">
      <c r="A457" s="36" t="s">
        <v>183</v>
      </c>
      <c r="B457" s="147"/>
      <c r="C457" s="148"/>
      <c r="D457" s="149"/>
    </row>
    <row r="458" spans="1:8" ht="24" customHeight="1" x14ac:dyDescent="0.25">
      <c r="A458" s="36"/>
      <c r="B458" s="147"/>
      <c r="C458" s="148"/>
      <c r="D458" s="149"/>
    </row>
    <row r="459" spans="1:8" ht="24" customHeight="1" x14ac:dyDescent="0.25">
      <c r="A459" s="36"/>
      <c r="B459" s="147"/>
      <c r="C459" s="148"/>
      <c r="D459" s="149"/>
    </row>
    <row r="460" spans="1:8" ht="24" customHeight="1" x14ac:dyDescent="0.25">
      <c r="A460" s="36"/>
      <c r="B460" s="147"/>
      <c r="C460" s="148"/>
      <c r="D460" s="149"/>
    </row>
    <row r="461" spans="1:8" ht="24" customHeight="1" x14ac:dyDescent="0.25">
      <c r="A461" s="36"/>
      <c r="B461" s="147"/>
      <c r="C461" s="148"/>
      <c r="D461" s="149"/>
    </row>
    <row r="462" spans="1:8" ht="24" customHeight="1" x14ac:dyDescent="0.25">
      <c r="A462" s="21"/>
      <c r="B462" s="150"/>
      <c r="C462" s="151"/>
      <c r="D462" s="152"/>
    </row>
    <row r="463" spans="1:8" ht="24" customHeight="1" x14ac:dyDescent="0.25">
      <c r="A463" s="1" t="s">
        <v>184</v>
      </c>
      <c r="B463" s="1"/>
      <c r="C463" s="1"/>
      <c r="D463" s="153"/>
    </row>
    <row r="464" spans="1:8" ht="24" customHeight="1" x14ac:dyDescent="0.25">
      <c r="A464" s="154"/>
      <c r="B464" s="155"/>
      <c r="C464" s="155"/>
      <c r="D464" s="155"/>
      <c r="E464" s="156"/>
    </row>
    <row r="465" spans="1:11" ht="24" customHeight="1" x14ac:dyDescent="0.25">
      <c r="A465" s="1" t="s">
        <v>185</v>
      </c>
      <c r="B465" s="1"/>
      <c r="C465" s="1"/>
      <c r="D465" s="157"/>
      <c r="E465" s="157"/>
    </row>
    <row r="466" spans="1:11" ht="24" customHeight="1" x14ac:dyDescent="0.25">
      <c r="A466" s="158" t="s">
        <v>11</v>
      </c>
      <c r="B466" s="159" t="s">
        <v>165</v>
      </c>
      <c r="C466" s="160" t="s">
        <v>186</v>
      </c>
      <c r="D466" s="157"/>
      <c r="E466" s="157"/>
    </row>
    <row r="467" spans="1:11" ht="24" customHeight="1" x14ac:dyDescent="0.25">
      <c r="A467" s="26" t="s">
        <v>19</v>
      </c>
      <c r="B467" s="161"/>
      <c r="C467" s="162"/>
      <c r="D467" s="155"/>
      <c r="E467" s="154"/>
    </row>
    <row r="468" spans="1:11" ht="24" customHeight="1" x14ac:dyDescent="0.25">
      <c r="A468" s="36" t="s">
        <v>21</v>
      </c>
      <c r="B468" s="163"/>
      <c r="C468" s="164"/>
      <c r="D468" s="155"/>
      <c r="E468" s="154"/>
    </row>
    <row r="469" spans="1:11" ht="24" customHeight="1" x14ac:dyDescent="0.25">
      <c r="A469" s="40" t="s">
        <v>38</v>
      </c>
      <c r="B469" s="165"/>
      <c r="C469" s="166"/>
      <c r="D469" s="155"/>
      <c r="E469" s="154"/>
    </row>
    <row r="470" spans="1:11" ht="24" customHeight="1" x14ac:dyDescent="0.25">
      <c r="A470" s="26" t="s">
        <v>25</v>
      </c>
      <c r="B470" s="167"/>
      <c r="C470" s="168"/>
      <c r="D470" s="155"/>
      <c r="E470" s="154"/>
    </row>
    <row r="471" spans="1:11" ht="24" customHeight="1" x14ac:dyDescent="0.25">
      <c r="A471" s="36" t="s">
        <v>26</v>
      </c>
      <c r="B471" s="163"/>
      <c r="C471" s="164"/>
      <c r="D471" s="155"/>
      <c r="E471" s="154"/>
    </row>
    <row r="472" spans="1:11" ht="24" customHeight="1" x14ac:dyDescent="0.25">
      <c r="A472" s="21" t="s">
        <v>27</v>
      </c>
      <c r="B472" s="165"/>
      <c r="C472" s="166"/>
      <c r="D472" s="155"/>
      <c r="E472" s="154"/>
    </row>
    <row r="473" spans="1:11" ht="24" customHeight="1" x14ac:dyDescent="0.25">
      <c r="A473" s="154"/>
      <c r="B473" s="155"/>
      <c r="C473" s="155"/>
      <c r="D473" s="155"/>
      <c r="E473" s="154"/>
    </row>
    <row r="474" spans="1:11" ht="24" customHeight="1" x14ac:dyDescent="0.25">
      <c r="A474" s="2" t="s">
        <v>187</v>
      </c>
      <c r="B474" s="2"/>
      <c r="C474" s="2"/>
      <c r="D474" s="2"/>
      <c r="E474" s="2"/>
      <c r="F474" s="2"/>
    </row>
    <row r="475" spans="1:11" ht="41.25" customHeight="1" x14ac:dyDescent="0.25">
      <c r="A475" s="53" t="s">
        <v>188</v>
      </c>
      <c r="B475" s="54" t="s">
        <v>189</v>
      </c>
      <c r="C475" s="55" t="s">
        <v>178</v>
      </c>
      <c r="D475" s="55" t="s">
        <v>190</v>
      </c>
      <c r="E475" s="55" t="s">
        <v>191</v>
      </c>
      <c r="F475" s="56" t="s">
        <v>192</v>
      </c>
    </row>
    <row r="476" spans="1:11" ht="24" customHeight="1" x14ac:dyDescent="0.25">
      <c r="A476" s="19"/>
      <c r="B476" s="169"/>
      <c r="C476" s="170"/>
      <c r="D476" s="171"/>
      <c r="E476" s="167"/>
      <c r="F476" s="172"/>
    </row>
    <row r="477" spans="1:11" ht="24" customHeight="1" x14ac:dyDescent="0.25">
      <c r="A477" s="36"/>
      <c r="B477" s="173"/>
      <c r="C477" s="174"/>
      <c r="D477" s="175"/>
      <c r="E477" s="163"/>
      <c r="F477" s="176"/>
    </row>
    <row r="478" spans="1:11" ht="24" customHeight="1" x14ac:dyDescent="0.25">
      <c r="A478" s="36"/>
      <c r="B478" s="173"/>
      <c r="C478" s="174"/>
      <c r="D478" s="175"/>
      <c r="E478" s="163"/>
      <c r="F478" s="177"/>
      <c r="G478" s="17"/>
      <c r="H478" s="17"/>
      <c r="I478" s="17"/>
      <c r="J478" s="17"/>
      <c r="K478" s="17"/>
    </row>
    <row r="479" spans="1:11" ht="24" customHeight="1" x14ac:dyDescent="0.25">
      <c r="A479" s="36"/>
      <c r="B479" s="173"/>
      <c r="C479" s="174"/>
      <c r="D479" s="175"/>
      <c r="E479" s="163"/>
      <c r="F479" s="176"/>
    </row>
    <row r="480" spans="1:11" ht="24" customHeight="1" x14ac:dyDescent="0.25">
      <c r="A480" s="36"/>
      <c r="B480" s="173"/>
      <c r="C480" s="174"/>
      <c r="D480" s="175"/>
      <c r="E480" s="163"/>
      <c r="F480" s="176"/>
    </row>
    <row r="481" spans="1:6" ht="24" customHeight="1" x14ac:dyDescent="0.25">
      <c r="A481" s="36"/>
      <c r="B481" s="173"/>
      <c r="C481" s="174"/>
      <c r="D481" s="175"/>
      <c r="E481" s="163"/>
      <c r="F481" s="176"/>
    </row>
    <row r="482" spans="1:6" ht="24" customHeight="1" x14ac:dyDescent="0.25">
      <c r="A482" s="36"/>
      <c r="B482" s="173"/>
      <c r="C482" s="174"/>
      <c r="D482" s="175"/>
      <c r="E482" s="163"/>
      <c r="F482" s="176"/>
    </row>
    <row r="483" spans="1:6" ht="24" customHeight="1" x14ac:dyDescent="0.25">
      <c r="A483" s="36"/>
      <c r="B483" s="173"/>
      <c r="C483" s="174"/>
      <c r="D483" s="175"/>
      <c r="E483" s="163"/>
      <c r="F483" s="176"/>
    </row>
    <row r="484" spans="1:6" ht="24" customHeight="1" x14ac:dyDescent="0.25">
      <c r="A484" s="36"/>
      <c r="B484" s="173"/>
      <c r="C484" s="174"/>
      <c r="D484" s="175"/>
      <c r="E484" s="163"/>
      <c r="F484" s="176"/>
    </row>
    <row r="485" spans="1:6" ht="24" customHeight="1" x14ac:dyDescent="0.25">
      <c r="A485" s="36"/>
      <c r="B485" s="173"/>
      <c r="C485" s="174"/>
      <c r="D485" s="175"/>
      <c r="E485" s="163"/>
      <c r="F485" s="176"/>
    </row>
    <row r="486" spans="1:6" ht="24" customHeight="1" x14ac:dyDescent="0.25">
      <c r="A486" s="178"/>
      <c r="B486" s="173"/>
      <c r="C486" s="85"/>
      <c r="D486" s="179"/>
      <c r="E486" s="163"/>
      <c r="F486" s="176"/>
    </row>
    <row r="487" spans="1:6" ht="24" customHeight="1" x14ac:dyDescent="0.25">
      <c r="A487" s="36"/>
      <c r="B487" s="173"/>
      <c r="C487" s="174"/>
      <c r="D487" s="175"/>
      <c r="E487" s="163"/>
      <c r="F487" s="176"/>
    </row>
    <row r="488" spans="1:6" ht="24" customHeight="1" x14ac:dyDescent="0.25">
      <c r="A488" s="36"/>
      <c r="B488" s="173"/>
      <c r="C488" s="174"/>
      <c r="D488" s="175"/>
      <c r="E488" s="163"/>
      <c r="F488" s="176"/>
    </row>
    <row r="489" spans="1:6" ht="24" customHeight="1" x14ac:dyDescent="0.25">
      <c r="A489" s="21"/>
      <c r="B489" s="180"/>
      <c r="C489" s="181"/>
      <c r="D489" s="182"/>
      <c r="E489" s="165"/>
      <c r="F489" s="183"/>
    </row>
    <row r="490" spans="1:6" ht="24" customHeight="1" x14ac:dyDescent="0.25">
      <c r="A490" s="478" t="s">
        <v>193</v>
      </c>
      <c r="B490" s="478"/>
      <c r="C490" s="478"/>
      <c r="D490" s="478"/>
      <c r="E490" s="184"/>
      <c r="F490" s="185"/>
    </row>
    <row r="491" spans="1:6" ht="24" customHeight="1" x14ac:dyDescent="0.25">
      <c r="A491" s="154"/>
      <c r="B491" s="155"/>
      <c r="C491" s="155"/>
      <c r="D491" s="155"/>
      <c r="E491" s="154"/>
    </row>
    <row r="492" spans="1:6" ht="24" customHeight="1" x14ac:dyDescent="0.25">
      <c r="A492" s="1" t="s">
        <v>194</v>
      </c>
      <c r="B492" s="1"/>
      <c r="C492" s="1"/>
      <c r="D492" s="1"/>
    </row>
    <row r="493" spans="1:6" ht="27.75" customHeight="1" x14ac:dyDescent="0.25">
      <c r="A493" s="186" t="s">
        <v>11</v>
      </c>
      <c r="B493" s="187" t="s">
        <v>165</v>
      </c>
      <c r="C493" s="187" t="s">
        <v>166</v>
      </c>
      <c r="D493" s="188" t="s">
        <v>195</v>
      </c>
    </row>
    <row r="494" spans="1:6" ht="24" customHeight="1" x14ac:dyDescent="0.25">
      <c r="A494" s="26" t="s">
        <v>19</v>
      </c>
      <c r="B494" s="161"/>
      <c r="C494" s="161"/>
      <c r="D494" s="189"/>
    </row>
    <row r="495" spans="1:6" ht="24" customHeight="1" x14ac:dyDescent="0.25">
      <c r="A495" s="36" t="s">
        <v>21</v>
      </c>
      <c r="B495" s="163"/>
      <c r="C495" s="163"/>
      <c r="D495" s="190"/>
    </row>
    <row r="496" spans="1:6" ht="24" customHeight="1" x14ac:dyDescent="0.25">
      <c r="A496" s="40" t="s">
        <v>38</v>
      </c>
      <c r="B496" s="191"/>
      <c r="C496" s="191"/>
      <c r="D496" s="192"/>
    </row>
    <row r="497" spans="1:8" ht="24" customHeight="1" x14ac:dyDescent="0.25">
      <c r="A497" s="26" t="s">
        <v>25</v>
      </c>
      <c r="B497" s="161"/>
      <c r="C497" s="161"/>
      <c r="D497" s="189"/>
    </row>
    <row r="498" spans="1:8" ht="24" customHeight="1" x14ac:dyDescent="0.25">
      <c r="A498" s="36" t="s">
        <v>26</v>
      </c>
      <c r="B498" s="163"/>
      <c r="C498" s="163"/>
      <c r="D498" s="190"/>
    </row>
    <row r="499" spans="1:8" ht="24" customHeight="1" x14ac:dyDescent="0.25">
      <c r="A499" s="21" t="s">
        <v>27</v>
      </c>
      <c r="B499" s="165"/>
      <c r="C499" s="165"/>
      <c r="D499" s="193"/>
    </row>
    <row r="501" spans="1:8" ht="24" customHeight="1" x14ac:dyDescent="0.25">
      <c r="A501" s="479" t="s">
        <v>175</v>
      </c>
      <c r="B501" s="479"/>
      <c r="C501" s="479"/>
      <c r="D501" s="479"/>
    </row>
    <row r="502" spans="1:8" ht="39.75" customHeight="1" x14ac:dyDescent="0.25">
      <c r="A502" s="158" t="s">
        <v>11</v>
      </c>
      <c r="B502" s="194" t="s">
        <v>196</v>
      </c>
      <c r="C502" s="194" t="s">
        <v>197</v>
      </c>
      <c r="D502" s="160" t="s">
        <v>18</v>
      </c>
    </row>
    <row r="503" spans="1:8" ht="24" customHeight="1" x14ac:dyDescent="0.25">
      <c r="A503" s="26" t="s">
        <v>19</v>
      </c>
      <c r="B503" s="195">
        <f t="shared" ref="B503:B508" si="86">C467</f>
        <v>0</v>
      </c>
      <c r="C503" s="195">
        <f t="shared" ref="C503:C508" si="87">D494</f>
        <v>0</v>
      </c>
      <c r="D503" s="189">
        <f t="shared" ref="D503:D508" si="88">SUM(B503:C503)</f>
        <v>0</v>
      </c>
    </row>
    <row r="504" spans="1:8" ht="24" customHeight="1" x14ac:dyDescent="0.25">
      <c r="A504" s="36" t="s">
        <v>21</v>
      </c>
      <c r="B504" s="196">
        <f t="shared" si="86"/>
        <v>0</v>
      </c>
      <c r="C504" s="196">
        <f t="shared" si="87"/>
        <v>0</v>
      </c>
      <c r="D504" s="190">
        <f t="shared" si="88"/>
        <v>0</v>
      </c>
    </row>
    <row r="505" spans="1:8" ht="24" customHeight="1" x14ac:dyDescent="0.25">
      <c r="A505" s="40" t="s">
        <v>38</v>
      </c>
      <c r="B505" s="197">
        <f t="shared" si="86"/>
        <v>0</v>
      </c>
      <c r="C505" s="197">
        <f t="shared" si="87"/>
        <v>0</v>
      </c>
      <c r="D505" s="192">
        <f t="shared" si="88"/>
        <v>0</v>
      </c>
    </row>
    <row r="506" spans="1:8" ht="24" customHeight="1" x14ac:dyDescent="0.25">
      <c r="A506" s="26" t="s">
        <v>25</v>
      </c>
      <c r="B506" s="195">
        <f t="shared" si="86"/>
        <v>0</v>
      </c>
      <c r="C506" s="195">
        <f t="shared" si="87"/>
        <v>0</v>
      </c>
      <c r="D506" s="189">
        <f t="shared" si="88"/>
        <v>0</v>
      </c>
    </row>
    <row r="507" spans="1:8" ht="24" customHeight="1" x14ac:dyDescent="0.25">
      <c r="A507" s="36" t="s">
        <v>26</v>
      </c>
      <c r="B507" s="196">
        <f t="shared" si="86"/>
        <v>0</v>
      </c>
      <c r="C507" s="196">
        <f t="shared" si="87"/>
        <v>0</v>
      </c>
      <c r="D507" s="190">
        <f t="shared" si="88"/>
        <v>0</v>
      </c>
    </row>
    <row r="508" spans="1:8" ht="24" customHeight="1" x14ac:dyDescent="0.25">
      <c r="A508" s="21" t="s">
        <v>27</v>
      </c>
      <c r="B508" s="198">
        <f t="shared" si="86"/>
        <v>0</v>
      </c>
      <c r="C508" s="198">
        <f t="shared" si="87"/>
        <v>0</v>
      </c>
      <c r="D508" s="193">
        <f t="shared" si="88"/>
        <v>0</v>
      </c>
      <c r="H508" s="17"/>
    </row>
    <row r="510" spans="1:8" ht="24" customHeight="1" x14ac:dyDescent="0.25">
      <c r="A510" s="12" t="s">
        <v>198</v>
      </c>
      <c r="B510" s="12"/>
      <c r="C510" s="12"/>
      <c r="D510" s="12"/>
      <c r="E510" s="12"/>
      <c r="F510" s="12"/>
      <c r="G510" s="12"/>
      <c r="H510" s="12"/>
    </row>
    <row r="511" spans="1:8" ht="24" customHeight="1" x14ac:dyDescent="0.25">
      <c r="A511" s="480"/>
      <c r="B511" s="480"/>
      <c r="C511" s="480"/>
      <c r="D511" s="480"/>
      <c r="E511" s="480"/>
      <c r="F511" s="480"/>
    </row>
    <row r="512" spans="1:8" ht="49.5" customHeight="1" x14ac:dyDescent="0.25">
      <c r="A512" s="481" t="s">
        <v>199</v>
      </c>
      <c r="B512" s="481"/>
      <c r="C512" s="63"/>
      <c r="D512" s="63"/>
      <c r="E512" s="63"/>
      <c r="F512" s="63"/>
    </row>
    <row r="513" spans="1:8" ht="24" customHeight="1" x14ac:dyDescent="0.25">
      <c r="A513" s="178" t="s">
        <v>200</v>
      </c>
      <c r="B513" s="199"/>
      <c r="C513" s="63"/>
      <c r="D513" s="63"/>
      <c r="E513" s="63"/>
      <c r="F513" s="63"/>
    </row>
    <row r="514" spans="1:8" ht="24" customHeight="1" x14ac:dyDescent="0.25">
      <c r="A514" s="178" t="s">
        <v>201</v>
      </c>
      <c r="B514" s="199"/>
      <c r="C514" s="63"/>
      <c r="D514" s="63"/>
      <c r="E514" s="63"/>
      <c r="F514" s="63"/>
    </row>
    <row r="515" spans="1:8" ht="24" customHeight="1" x14ac:dyDescent="0.25">
      <c r="A515" s="90" t="s">
        <v>202</v>
      </c>
      <c r="B515" s="200"/>
      <c r="C515" s="63"/>
      <c r="D515" s="63"/>
      <c r="E515" s="63"/>
      <c r="F515" s="63"/>
    </row>
    <row r="517" spans="1:8" ht="24" customHeight="1" x14ac:dyDescent="0.25">
      <c r="A517" s="10" t="s">
        <v>198</v>
      </c>
      <c r="B517" s="10"/>
      <c r="C517" s="10"/>
      <c r="D517" s="10"/>
    </row>
    <row r="518" spans="1:8" ht="24" customHeight="1" x14ac:dyDescent="0.25">
      <c r="A518" s="64" t="s">
        <v>11</v>
      </c>
      <c r="B518" s="65" t="s">
        <v>12</v>
      </c>
      <c r="C518" s="65" t="s">
        <v>13</v>
      </c>
      <c r="D518" s="67" t="s">
        <v>18</v>
      </c>
    </row>
    <row r="519" spans="1:8" ht="24" customHeight="1" x14ac:dyDescent="0.25">
      <c r="A519" s="26" t="s">
        <v>19</v>
      </c>
      <c r="B519" s="201">
        <f t="shared" ref="B519:B524" si="89">G70+E255+E359+D443+D503</f>
        <v>0</v>
      </c>
      <c r="C519" s="28">
        <f t="shared" ref="C519:C524" si="90">((1+$B$513)/(1-$B$514-$B$515))-1</f>
        <v>0</v>
      </c>
      <c r="D519" s="34">
        <f t="shared" ref="D519:D524" si="91">B519*C519</f>
        <v>0</v>
      </c>
    </row>
    <row r="520" spans="1:8" ht="24" customHeight="1" x14ac:dyDescent="0.25">
      <c r="A520" s="36" t="s">
        <v>21</v>
      </c>
      <c r="B520" s="202">
        <f t="shared" si="89"/>
        <v>0</v>
      </c>
      <c r="C520" s="72">
        <f t="shared" si="90"/>
        <v>0</v>
      </c>
      <c r="D520" s="39">
        <f t="shared" si="91"/>
        <v>0</v>
      </c>
    </row>
    <row r="521" spans="1:8" ht="24" customHeight="1" x14ac:dyDescent="0.25">
      <c r="A521" s="40" t="s">
        <v>38</v>
      </c>
      <c r="B521" s="203">
        <f t="shared" si="89"/>
        <v>0</v>
      </c>
      <c r="C521" s="73">
        <f t="shared" si="90"/>
        <v>0</v>
      </c>
      <c r="D521" s="43">
        <f t="shared" si="91"/>
        <v>0</v>
      </c>
    </row>
    <row r="522" spans="1:8" ht="24" customHeight="1" x14ac:dyDescent="0.25">
      <c r="A522" s="26" t="s">
        <v>25</v>
      </c>
      <c r="B522" s="201">
        <f t="shared" si="89"/>
        <v>0</v>
      </c>
      <c r="C522" s="28">
        <f t="shared" si="90"/>
        <v>0</v>
      </c>
      <c r="D522" s="34">
        <f t="shared" si="91"/>
        <v>0</v>
      </c>
    </row>
    <row r="523" spans="1:8" ht="24" customHeight="1" x14ac:dyDescent="0.25">
      <c r="A523" s="36" t="s">
        <v>26</v>
      </c>
      <c r="B523" s="202">
        <f t="shared" si="89"/>
        <v>0</v>
      </c>
      <c r="C523" s="72">
        <f t="shared" si="90"/>
        <v>0</v>
      </c>
      <c r="D523" s="39">
        <f t="shared" si="91"/>
        <v>0</v>
      </c>
    </row>
    <row r="524" spans="1:8" ht="24" customHeight="1" x14ac:dyDescent="0.25">
      <c r="A524" s="21" t="s">
        <v>27</v>
      </c>
      <c r="B524" s="204">
        <f t="shared" si="89"/>
        <v>0</v>
      </c>
      <c r="C524" s="31">
        <f t="shared" si="90"/>
        <v>0</v>
      </c>
      <c r="D524" s="22">
        <f t="shared" si="91"/>
        <v>0</v>
      </c>
      <c r="H524" s="17"/>
    </row>
    <row r="526" spans="1:8" ht="24" customHeight="1" x14ac:dyDescent="0.25">
      <c r="A526" s="12" t="s">
        <v>203</v>
      </c>
      <c r="B526" s="12"/>
      <c r="C526" s="12"/>
      <c r="D526" s="12"/>
      <c r="E526" s="12"/>
      <c r="F526" s="12"/>
      <c r="G526" s="12"/>
      <c r="H526" s="12"/>
    </row>
    <row r="527" spans="1:8" ht="51" customHeight="1" x14ac:dyDescent="0.25">
      <c r="A527" s="13" t="s">
        <v>204</v>
      </c>
      <c r="B527" s="13"/>
      <c r="C527" s="13"/>
      <c r="D527" s="13"/>
      <c r="E527" s="13"/>
      <c r="F527" s="13"/>
    </row>
    <row r="529" spans="1:8" ht="24" customHeight="1" x14ac:dyDescent="0.25">
      <c r="A529" s="10" t="s">
        <v>205</v>
      </c>
      <c r="B529" s="10"/>
      <c r="C529" s="10"/>
      <c r="D529" s="10"/>
    </row>
    <row r="530" spans="1:8" ht="24" customHeight="1" x14ac:dyDescent="0.25">
      <c r="A530" s="23" t="s">
        <v>11</v>
      </c>
      <c r="B530" s="24" t="s">
        <v>12</v>
      </c>
      <c r="C530" s="24" t="s">
        <v>206</v>
      </c>
      <c r="D530" s="25" t="s">
        <v>18</v>
      </c>
    </row>
    <row r="531" spans="1:8" ht="24" customHeight="1" x14ac:dyDescent="0.25">
      <c r="A531" s="26" t="s">
        <v>25</v>
      </c>
      <c r="B531" s="27">
        <f>G73+E258+E362+D446+D506+D522</f>
        <v>0</v>
      </c>
      <c r="C531" s="47">
        <v>40</v>
      </c>
      <c r="D531" s="34">
        <f>B531/C531</f>
        <v>0</v>
      </c>
    </row>
    <row r="532" spans="1:8" ht="24" customHeight="1" x14ac:dyDescent="0.25">
      <c r="A532" s="36" t="s">
        <v>26</v>
      </c>
      <c r="B532" s="37">
        <f>G74+E259+E363+D447+D507+D523</f>
        <v>0</v>
      </c>
      <c r="C532" s="49">
        <f>C531</f>
        <v>40</v>
      </c>
      <c r="D532" s="39">
        <f>B532/C532</f>
        <v>0</v>
      </c>
    </row>
    <row r="533" spans="1:8" ht="24" customHeight="1" x14ac:dyDescent="0.25">
      <c r="A533" s="21" t="s">
        <v>27</v>
      </c>
      <c r="B533" s="30">
        <f>G75+E260+E364+D448+D508+D524</f>
        <v>0</v>
      </c>
      <c r="C533" s="51">
        <f>C532</f>
        <v>40</v>
      </c>
      <c r="D533" s="22">
        <f>B533/C533</f>
        <v>0</v>
      </c>
      <c r="H533" s="17"/>
    </row>
    <row r="535" spans="1:8" ht="24" customHeight="1" x14ac:dyDescent="0.25">
      <c r="A535" s="12" t="s">
        <v>207</v>
      </c>
      <c r="B535" s="12"/>
      <c r="C535" s="12"/>
      <c r="D535" s="12"/>
      <c r="E535" s="12"/>
      <c r="F535" s="12"/>
      <c r="G535" s="12"/>
      <c r="H535" s="12"/>
    </row>
    <row r="537" spans="1:8" ht="24" customHeight="1" x14ac:dyDescent="0.25">
      <c r="A537" s="2" t="s">
        <v>208</v>
      </c>
      <c r="B537" s="2"/>
      <c r="C537" s="2"/>
      <c r="D537" s="2"/>
    </row>
    <row r="538" spans="1:8" ht="24" customHeight="1" x14ac:dyDescent="0.25">
      <c r="A538" s="205" t="s">
        <v>209</v>
      </c>
      <c r="B538" s="24" t="s">
        <v>210</v>
      </c>
      <c r="C538" s="24" t="s">
        <v>211</v>
      </c>
      <c r="D538" s="25" t="s">
        <v>212</v>
      </c>
    </row>
    <row r="539" spans="1:8" ht="32.1" customHeight="1" x14ac:dyDescent="0.25">
      <c r="A539" s="112" t="s">
        <v>213</v>
      </c>
      <c r="B539" s="27">
        <f>G70</f>
        <v>0</v>
      </c>
      <c r="C539" s="27">
        <f>G71</f>
        <v>0</v>
      </c>
      <c r="D539" s="29">
        <f>G72</f>
        <v>0</v>
      </c>
    </row>
    <row r="540" spans="1:8" ht="32.1" customHeight="1" x14ac:dyDescent="0.25">
      <c r="A540" s="96" t="s">
        <v>214</v>
      </c>
      <c r="B540" s="37">
        <f>E255</f>
        <v>0</v>
      </c>
      <c r="C540" s="37">
        <f>E256</f>
        <v>0</v>
      </c>
      <c r="D540" s="206">
        <f>E257</f>
        <v>0</v>
      </c>
    </row>
    <row r="541" spans="1:8" ht="32.1" customHeight="1" x14ac:dyDescent="0.25">
      <c r="A541" s="96" t="s">
        <v>215</v>
      </c>
      <c r="B541" s="37">
        <f>E359</f>
        <v>0</v>
      </c>
      <c r="C541" s="37">
        <f>E360</f>
        <v>0</v>
      </c>
      <c r="D541" s="206">
        <f>E361</f>
        <v>0</v>
      </c>
    </row>
    <row r="542" spans="1:8" ht="32.1" customHeight="1" x14ac:dyDescent="0.25">
      <c r="A542" s="96" t="s">
        <v>216</v>
      </c>
      <c r="B542" s="37">
        <f>D443</f>
        <v>0</v>
      </c>
      <c r="C542" s="37">
        <f>D444</f>
        <v>0</v>
      </c>
      <c r="D542" s="206">
        <f>D445</f>
        <v>0</v>
      </c>
    </row>
    <row r="543" spans="1:8" ht="32.1" customHeight="1" x14ac:dyDescent="0.25">
      <c r="A543" s="96" t="s">
        <v>217</v>
      </c>
      <c r="B543" s="37">
        <f>D503</f>
        <v>0</v>
      </c>
      <c r="C543" s="37">
        <f>D504</f>
        <v>0</v>
      </c>
      <c r="D543" s="206">
        <f>D505</f>
        <v>0</v>
      </c>
    </row>
    <row r="544" spans="1:8" ht="32.1" customHeight="1" x14ac:dyDescent="0.25">
      <c r="A544" s="96" t="s">
        <v>218</v>
      </c>
      <c r="B544" s="37">
        <f>D519</f>
        <v>0</v>
      </c>
      <c r="C544" s="37">
        <f>D520</f>
        <v>0</v>
      </c>
      <c r="D544" s="206">
        <f>D521</f>
        <v>0</v>
      </c>
    </row>
    <row r="545" spans="1:4" ht="32.1" customHeight="1" x14ac:dyDescent="0.25">
      <c r="A545" s="96" t="s">
        <v>219</v>
      </c>
      <c r="B545" s="37">
        <f>D531</f>
        <v>0</v>
      </c>
      <c r="C545" s="37">
        <f>D532</f>
        <v>0</v>
      </c>
      <c r="D545" s="206">
        <f>D533</f>
        <v>0</v>
      </c>
    </row>
    <row r="546" spans="1:4" ht="32.1" customHeight="1" x14ac:dyDescent="0.25">
      <c r="A546" s="207" t="s">
        <v>220</v>
      </c>
      <c r="B546" s="208">
        <f>SUM(B539:B545)</f>
        <v>0</v>
      </c>
      <c r="C546" s="208">
        <f>SUM(C539:C545)</f>
        <v>0</v>
      </c>
      <c r="D546" s="209">
        <f>SUM(D539:D545)</f>
        <v>0</v>
      </c>
    </row>
    <row r="547" spans="1:4" ht="32.1" customHeight="1" x14ac:dyDescent="0.25">
      <c r="A547" s="129" t="s">
        <v>221</v>
      </c>
      <c r="B547" s="210">
        <f>B546*2</f>
        <v>0</v>
      </c>
      <c r="C547" s="210">
        <f>C546*2</f>
        <v>0</v>
      </c>
      <c r="D547" s="211">
        <f>D546*1</f>
        <v>0</v>
      </c>
    </row>
    <row r="548" spans="1:4" ht="24" customHeight="1" x14ac:dyDescent="0.25">
      <c r="A548" s="212"/>
    </row>
    <row r="549" spans="1:4" ht="24" customHeight="1" x14ac:dyDescent="0.25">
      <c r="A549" s="212"/>
    </row>
    <row r="550" spans="1:4" ht="24" customHeight="1" x14ac:dyDescent="0.25">
      <c r="A550" s="212"/>
    </row>
  </sheetData>
  <mergeCells count="110">
    <mergeCell ref="A535:H535"/>
    <mergeCell ref="A537:D537"/>
    <mergeCell ref="A492:D492"/>
    <mergeCell ref="A501:D501"/>
    <mergeCell ref="A510:H510"/>
    <mergeCell ref="A511:F511"/>
    <mergeCell ref="A512:B512"/>
    <mergeCell ref="A517:D517"/>
    <mergeCell ref="A526:H526"/>
    <mergeCell ref="A527:F527"/>
    <mergeCell ref="A529:D529"/>
    <mergeCell ref="A433:D433"/>
    <mergeCell ref="A439:H439"/>
    <mergeCell ref="A441:D441"/>
    <mergeCell ref="A450:H450"/>
    <mergeCell ref="A452:D452"/>
    <mergeCell ref="A463:C463"/>
    <mergeCell ref="A465:C465"/>
    <mergeCell ref="A474:F474"/>
    <mergeCell ref="A490:D490"/>
    <mergeCell ref="A387:A388"/>
    <mergeCell ref="B387:D387"/>
    <mergeCell ref="A403:H403"/>
    <mergeCell ref="A404:H404"/>
    <mergeCell ref="A406:D406"/>
    <mergeCell ref="A415:E415"/>
    <mergeCell ref="A424:H424"/>
    <mergeCell ref="A425:H425"/>
    <mergeCell ref="A427:D427"/>
    <mergeCell ref="A357:E357"/>
    <mergeCell ref="A366:H366"/>
    <mergeCell ref="A367:H367"/>
    <mergeCell ref="A369:G369"/>
    <mergeCell ref="A370:G370"/>
    <mergeCell ref="A371:A372"/>
    <mergeCell ref="B371:B372"/>
    <mergeCell ref="C371:C372"/>
    <mergeCell ref="A386:D386"/>
    <mergeCell ref="A305:H305"/>
    <mergeCell ref="A307:D307"/>
    <mergeCell ref="A316:D316"/>
    <mergeCell ref="A325:D325"/>
    <mergeCell ref="A334:H334"/>
    <mergeCell ref="A335:H335"/>
    <mergeCell ref="A337:E337"/>
    <mergeCell ref="A346:D346"/>
    <mergeCell ref="A355:H355"/>
    <mergeCell ref="A262:H262"/>
    <mergeCell ref="A263:H263"/>
    <mergeCell ref="A265:B265"/>
    <mergeCell ref="A274:H274"/>
    <mergeCell ref="A275:H275"/>
    <mergeCell ref="A277:D277"/>
    <mergeCell ref="A286:D286"/>
    <mergeCell ref="A295:D295"/>
    <mergeCell ref="A304:H304"/>
    <mergeCell ref="A202:D202"/>
    <mergeCell ref="A211:D211"/>
    <mergeCell ref="A220:H220"/>
    <mergeCell ref="A222:D222"/>
    <mergeCell ref="A231:H231"/>
    <mergeCell ref="A233:D233"/>
    <mergeCell ref="A242:F242"/>
    <mergeCell ref="A251:H251"/>
    <mergeCell ref="A253:E253"/>
    <mergeCell ref="A150:D150"/>
    <mergeCell ref="A159:H159"/>
    <mergeCell ref="A160:H160"/>
    <mergeCell ref="A162:F162"/>
    <mergeCell ref="A164:E164"/>
    <mergeCell ref="A173:E173"/>
    <mergeCell ref="A182:D182"/>
    <mergeCell ref="A191:F191"/>
    <mergeCell ref="A193:D193"/>
    <mergeCell ref="A81:D81"/>
    <mergeCell ref="A90:D90"/>
    <mergeCell ref="A99:E99"/>
    <mergeCell ref="A108:E108"/>
    <mergeCell ref="A117:H117"/>
    <mergeCell ref="A118:H118"/>
    <mergeCell ref="A120:B120"/>
    <mergeCell ref="A132:D132"/>
    <mergeCell ref="A141:D141"/>
    <mergeCell ref="A48:D48"/>
    <mergeCell ref="A53:D53"/>
    <mergeCell ref="A54:F54"/>
    <mergeCell ref="A56:D56"/>
    <mergeCell ref="A65:H65"/>
    <mergeCell ref="A66:H66"/>
    <mergeCell ref="A68:G68"/>
    <mergeCell ref="A77:H77"/>
    <mergeCell ref="A79:H79"/>
    <mergeCell ref="A16:H16"/>
    <mergeCell ref="A18:D18"/>
    <mergeCell ref="A23:H23"/>
    <mergeCell ref="A24:H24"/>
    <mergeCell ref="A26:D26"/>
    <mergeCell ref="A36:H36"/>
    <mergeCell ref="A37:H37"/>
    <mergeCell ref="A39:E39"/>
    <mergeCell ref="A43:E43"/>
    <mergeCell ref="A1:H1"/>
    <mergeCell ref="A2:H2"/>
    <mergeCell ref="A3:H3"/>
    <mergeCell ref="A5:H5"/>
    <mergeCell ref="A6:H6"/>
    <mergeCell ref="A8:H8"/>
    <mergeCell ref="A9:H9"/>
    <mergeCell ref="A11:B11"/>
    <mergeCell ref="A15:H15"/>
  </mergeCells>
  <pageMargins left="0.51180555555555496" right="0.51180555555555496" top="0.78749999999999998" bottom="0.78749999999999998" header="0.51180555555555496" footer="0.51180555555555496"/>
  <pageSetup paperSize="9" firstPageNumber="0"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05"/>
  <sheetViews>
    <sheetView showGridLines="0" topLeftCell="A93" zoomScale="60" zoomScaleNormal="60" workbookViewId="0">
      <selection activeCell="B179" sqref="B179"/>
    </sheetView>
  </sheetViews>
  <sheetFormatPr defaultColWidth="9.140625" defaultRowHeight="15.75" x14ac:dyDescent="0.25"/>
  <cols>
    <col min="1" max="1" width="1.7109375" style="213" customWidth="1"/>
    <col min="2" max="2" width="16.7109375" style="214" customWidth="1"/>
    <col min="3" max="3" width="52.5703125" style="214" customWidth="1"/>
    <col min="4" max="4" width="21.7109375" style="214" customWidth="1"/>
    <col min="5" max="8" width="19.7109375" style="214" customWidth="1"/>
    <col min="9" max="10" width="19.7109375" style="214" hidden="1" customWidth="1"/>
    <col min="11" max="12" width="9.140625" style="214"/>
    <col min="13" max="13" width="12.5703125" style="214" customWidth="1"/>
    <col min="14" max="14" width="12.28515625" style="214" customWidth="1"/>
    <col min="15" max="15" width="10" style="214" customWidth="1"/>
    <col min="16" max="1024" width="9.140625" style="213"/>
  </cols>
  <sheetData>
    <row r="1" spans="2:16" ht="18.75" customHeight="1" x14ac:dyDescent="0.25">
      <c r="B1" s="215" t="s">
        <v>222</v>
      </c>
    </row>
    <row r="2" spans="2:16" ht="18.75" customHeight="1" x14ac:dyDescent="0.25">
      <c r="B2" s="216" t="s">
        <v>223</v>
      </c>
    </row>
    <row r="3" spans="2:16" ht="18.75" customHeight="1" x14ac:dyDescent="0.25">
      <c r="B3" s="216" t="s">
        <v>224</v>
      </c>
    </row>
    <row r="4" spans="2:16" ht="18.75" customHeight="1" x14ac:dyDescent="0.25">
      <c r="B4" s="217" t="s">
        <v>225</v>
      </c>
    </row>
    <row r="5" spans="2:16" ht="33" customHeight="1" x14ac:dyDescent="0.35">
      <c r="B5" s="482" t="s">
        <v>0</v>
      </c>
      <c r="C5" s="482"/>
      <c r="D5" s="482"/>
      <c r="E5" s="482"/>
      <c r="F5" s="482"/>
      <c r="G5" s="482"/>
      <c r="H5" s="482"/>
      <c r="I5" s="482"/>
      <c r="J5" s="482"/>
    </row>
    <row r="7" spans="2:16" x14ac:dyDescent="0.25">
      <c r="B7" s="9" t="s">
        <v>226</v>
      </c>
      <c r="C7" s="9"/>
      <c r="D7" s="9"/>
    </row>
    <row r="8" spans="2:16" ht="27" customHeight="1" x14ac:dyDescent="0.25">
      <c r="B8" s="219" t="s">
        <v>227</v>
      </c>
      <c r="C8" s="220" t="s">
        <v>228</v>
      </c>
      <c r="D8" s="221"/>
    </row>
    <row r="9" spans="2:16" ht="27" customHeight="1" x14ac:dyDescent="0.25">
      <c r="B9" s="222" t="s">
        <v>229</v>
      </c>
      <c r="C9" s="223" t="s">
        <v>230</v>
      </c>
      <c r="D9" s="224" t="s">
        <v>231</v>
      </c>
    </row>
    <row r="10" spans="2:16" ht="27" customHeight="1" x14ac:dyDescent="0.25">
      <c r="B10" s="222" t="s">
        <v>232</v>
      </c>
      <c r="C10" s="223" t="s">
        <v>233</v>
      </c>
      <c r="D10" s="225">
        <v>2018</v>
      </c>
    </row>
    <row r="11" spans="2:16" ht="27" customHeight="1" x14ac:dyDescent="0.25">
      <c r="B11" s="222" t="s">
        <v>234</v>
      </c>
      <c r="C11" s="223" t="s">
        <v>235</v>
      </c>
      <c r="D11" s="226">
        <v>12</v>
      </c>
    </row>
    <row r="12" spans="2:16" ht="22.5" customHeight="1" x14ac:dyDescent="0.25"/>
    <row r="13" spans="2:16" x14ac:dyDescent="0.25">
      <c r="B13" s="9" t="s">
        <v>236</v>
      </c>
      <c r="C13" s="9"/>
      <c r="D13" s="9"/>
    </row>
    <row r="14" spans="2:16" ht="32.25" customHeight="1" x14ac:dyDescent="0.25">
      <c r="B14" s="483" t="s">
        <v>237</v>
      </c>
      <c r="C14" s="483"/>
      <c r="D14" s="221" t="s">
        <v>238</v>
      </c>
      <c r="E14" s="221" t="s">
        <v>239</v>
      </c>
      <c r="F14" s="228"/>
      <c r="P14" s="214"/>
    </row>
    <row r="15" spans="2:16" ht="21.75" customHeight="1" x14ac:dyDescent="0.25">
      <c r="B15" s="229" t="s">
        <v>240</v>
      </c>
      <c r="C15" s="230"/>
      <c r="D15" s="231" t="s">
        <v>241</v>
      </c>
      <c r="E15" s="226">
        <v>99</v>
      </c>
      <c r="P15" s="214"/>
    </row>
    <row r="16" spans="2:16" ht="21.75" customHeight="1" x14ac:dyDescent="0.25">
      <c r="B16" s="229" t="s">
        <v>242</v>
      </c>
      <c r="C16" s="230"/>
      <c r="D16" s="231" t="s">
        <v>241</v>
      </c>
      <c r="E16" s="226">
        <v>5</v>
      </c>
      <c r="P16" s="214"/>
    </row>
    <row r="17" spans="2:20" ht="21.75" customHeight="1" x14ac:dyDescent="0.25">
      <c r="B17" s="232" t="s">
        <v>243</v>
      </c>
      <c r="C17" s="233"/>
      <c r="D17" s="231" t="s">
        <v>241</v>
      </c>
      <c r="E17" s="226">
        <v>5</v>
      </c>
      <c r="P17" s="214"/>
    </row>
    <row r="18" spans="2:20" ht="21.75" customHeight="1" x14ac:dyDescent="0.25">
      <c r="B18" s="232" t="s">
        <v>244</v>
      </c>
      <c r="C18" s="233"/>
      <c r="D18" s="231" t="s">
        <v>241</v>
      </c>
      <c r="E18" s="226">
        <v>1</v>
      </c>
      <c r="P18" s="214"/>
    </row>
    <row r="19" spans="2:20" ht="21.75" hidden="1" customHeight="1" x14ac:dyDescent="0.25">
      <c r="B19" s="232" t="s">
        <v>245</v>
      </c>
      <c r="C19" s="233"/>
      <c r="D19" s="231" t="s">
        <v>241</v>
      </c>
      <c r="E19" s="226"/>
      <c r="P19" s="214"/>
    </row>
    <row r="20" spans="2:20" ht="21.75" hidden="1" customHeight="1" x14ac:dyDescent="0.25">
      <c r="B20" s="232" t="s">
        <v>246</v>
      </c>
      <c r="C20" s="233"/>
      <c r="D20" s="231" t="s">
        <v>241</v>
      </c>
      <c r="E20" s="226"/>
      <c r="P20" s="214"/>
    </row>
    <row r="21" spans="2:20" x14ac:dyDescent="0.25">
      <c r="B21" s="234"/>
      <c r="C21" s="234"/>
      <c r="D21" s="235"/>
      <c r="E21" s="236"/>
      <c r="P21" s="214"/>
    </row>
    <row r="22" spans="2:20" x14ac:dyDescent="0.25">
      <c r="B22" s="484" t="s">
        <v>247</v>
      </c>
      <c r="C22" s="484"/>
      <c r="D22" s="484"/>
      <c r="E22" s="484"/>
      <c r="F22" s="484"/>
      <c r="G22" s="484"/>
      <c r="H22" s="484"/>
      <c r="I22" s="484"/>
      <c r="J22" s="484"/>
    </row>
    <row r="23" spans="2:20" ht="11.25" customHeight="1" x14ac:dyDescent="0.25"/>
    <row r="24" spans="2:20" x14ac:dyDescent="0.25">
      <c r="B24" s="214" t="s">
        <v>248</v>
      </c>
    </row>
    <row r="25" spans="2:20" x14ac:dyDescent="0.25">
      <c r="B25" s="214" t="s">
        <v>249</v>
      </c>
    </row>
    <row r="26" spans="2:20" ht="27" customHeight="1" x14ac:dyDescent="0.25">
      <c r="B26" s="485" t="s">
        <v>250</v>
      </c>
      <c r="C26" s="485"/>
      <c r="D26" s="485"/>
      <c r="E26" s="485"/>
      <c r="F26" s="485"/>
      <c r="G26" s="485"/>
      <c r="H26" s="485"/>
      <c r="I26" s="485"/>
      <c r="J26" s="485"/>
      <c r="P26" s="214"/>
      <c r="Q26" s="214"/>
    </row>
    <row r="27" spans="2:20" ht="31.5" customHeight="1" x14ac:dyDescent="0.25">
      <c r="B27" s="219">
        <v>1</v>
      </c>
      <c r="C27" s="486" t="s">
        <v>251</v>
      </c>
      <c r="D27" s="486"/>
      <c r="E27" s="239" t="s">
        <v>240</v>
      </c>
      <c r="F27" s="239" t="s">
        <v>242</v>
      </c>
      <c r="G27" s="239" t="s">
        <v>243</v>
      </c>
      <c r="H27" s="239" t="s">
        <v>244</v>
      </c>
      <c r="I27" s="239" t="s">
        <v>245</v>
      </c>
      <c r="J27" s="239" t="s">
        <v>246</v>
      </c>
      <c r="P27" s="214"/>
      <c r="Q27" s="214"/>
    </row>
    <row r="28" spans="2:20" ht="23.25" customHeight="1" x14ac:dyDescent="0.25">
      <c r="B28" s="222">
        <v>2</v>
      </c>
      <c r="C28" s="486" t="s">
        <v>252</v>
      </c>
      <c r="D28" s="486"/>
      <c r="E28" s="224" t="s">
        <v>253</v>
      </c>
      <c r="F28" s="224" t="s">
        <v>253</v>
      </c>
      <c r="G28" s="224" t="s">
        <v>253</v>
      </c>
      <c r="H28" s="224" t="s">
        <v>253</v>
      </c>
      <c r="I28" s="224"/>
      <c r="J28" s="224"/>
      <c r="P28" s="214"/>
      <c r="Q28" s="214">
        <v>1</v>
      </c>
      <c r="R28" s="213">
        <v>19</v>
      </c>
      <c r="S28" s="213">
        <v>20</v>
      </c>
    </row>
    <row r="29" spans="2:20" ht="26.25" customHeight="1" x14ac:dyDescent="0.25">
      <c r="B29" s="222">
        <v>3</v>
      </c>
      <c r="C29" s="486" t="s">
        <v>254</v>
      </c>
      <c r="D29" s="486"/>
      <c r="E29" s="240">
        <v>1084</v>
      </c>
      <c r="F29" s="240">
        <v>1084</v>
      </c>
      <c r="G29" s="240">
        <v>1084</v>
      </c>
      <c r="H29" s="240">
        <v>1084</v>
      </c>
      <c r="I29" s="240" t="s">
        <v>255</v>
      </c>
      <c r="J29" s="240" t="s">
        <v>255</v>
      </c>
      <c r="P29" s="214"/>
      <c r="Q29" s="214">
        <v>2</v>
      </c>
      <c r="R29" s="213">
        <v>20</v>
      </c>
      <c r="S29" s="213">
        <v>21</v>
      </c>
    </row>
    <row r="30" spans="2:20" ht="24.75" customHeight="1" x14ac:dyDescent="0.25">
      <c r="B30" s="222">
        <v>4</v>
      </c>
      <c r="C30" s="486" t="s">
        <v>256</v>
      </c>
      <c r="D30" s="486"/>
      <c r="E30" s="224" t="s">
        <v>257</v>
      </c>
      <c r="F30" s="224" t="s">
        <v>257</v>
      </c>
      <c r="G30" s="224" t="s">
        <v>257</v>
      </c>
      <c r="H30" s="224" t="s">
        <v>257</v>
      </c>
      <c r="I30" s="224"/>
      <c r="J30" s="224"/>
      <c r="P30" s="214"/>
      <c r="Q30" s="214">
        <v>3</v>
      </c>
      <c r="R30" s="213">
        <v>21</v>
      </c>
      <c r="S30" s="213">
        <v>22</v>
      </c>
    </row>
    <row r="31" spans="2:20" ht="26.25" customHeight="1" x14ac:dyDescent="0.25">
      <c r="B31" s="222">
        <v>5</v>
      </c>
      <c r="C31" s="486" t="s">
        <v>258</v>
      </c>
      <c r="D31" s="486"/>
      <c r="E31" s="224" t="s">
        <v>259</v>
      </c>
      <c r="F31" s="224" t="s">
        <v>259</v>
      </c>
      <c r="G31" s="224" t="s">
        <v>259</v>
      </c>
      <c r="H31" s="224" t="s">
        <v>259</v>
      </c>
      <c r="I31" s="224"/>
      <c r="J31" s="224"/>
      <c r="P31" s="214"/>
      <c r="Q31" s="214">
        <v>4</v>
      </c>
      <c r="R31" s="213">
        <v>22</v>
      </c>
      <c r="S31" s="213">
        <v>23</v>
      </c>
      <c r="T31" s="213" t="s">
        <v>260</v>
      </c>
    </row>
    <row r="32" spans="2:20" x14ac:dyDescent="0.25">
      <c r="B32" s="222"/>
      <c r="C32" s="486"/>
      <c r="D32" s="486"/>
      <c r="E32" s="240"/>
      <c r="F32" s="224"/>
      <c r="G32" s="224"/>
      <c r="H32" s="240"/>
      <c r="I32" s="224"/>
      <c r="J32" s="224"/>
      <c r="P32" s="214"/>
      <c r="Q32" s="214">
        <v>5</v>
      </c>
      <c r="R32" s="213">
        <v>23</v>
      </c>
      <c r="S32" s="213">
        <v>0</v>
      </c>
      <c r="T32" s="213" t="s">
        <v>260</v>
      </c>
    </row>
    <row r="33" spans="2:20" x14ac:dyDescent="0.25">
      <c r="B33" s="222"/>
      <c r="C33" s="486"/>
      <c r="D33" s="486"/>
      <c r="E33" s="224"/>
      <c r="F33" s="224"/>
      <c r="G33" s="224"/>
      <c r="H33" s="224"/>
      <c r="I33" s="224"/>
      <c r="J33" s="224"/>
      <c r="P33" s="214"/>
      <c r="Q33" s="214">
        <v>6</v>
      </c>
      <c r="R33" s="213">
        <v>0</v>
      </c>
      <c r="S33" s="213">
        <v>1</v>
      </c>
      <c r="T33" s="213" t="s">
        <v>260</v>
      </c>
    </row>
    <row r="34" spans="2:20" x14ac:dyDescent="0.25">
      <c r="Q34" s="214">
        <v>7</v>
      </c>
      <c r="R34" s="213">
        <v>1</v>
      </c>
      <c r="S34" s="213">
        <v>2</v>
      </c>
      <c r="T34" s="213" t="s">
        <v>260</v>
      </c>
    </row>
    <row r="35" spans="2:20" x14ac:dyDescent="0.25">
      <c r="B35" s="487" t="s">
        <v>261</v>
      </c>
      <c r="C35" s="487"/>
      <c r="D35" s="487"/>
      <c r="E35" s="487"/>
      <c r="F35" s="487"/>
      <c r="G35" s="487"/>
      <c r="H35" s="487"/>
      <c r="I35" s="487"/>
      <c r="J35" s="487"/>
      <c r="Q35" s="214">
        <v>8</v>
      </c>
      <c r="R35" s="213">
        <v>2</v>
      </c>
      <c r="S35" s="213">
        <v>3</v>
      </c>
      <c r="T35" s="213" t="s">
        <v>260</v>
      </c>
    </row>
    <row r="36" spans="2:20" x14ac:dyDescent="0.25">
      <c r="Q36" s="214">
        <v>9</v>
      </c>
      <c r="R36" s="213">
        <v>3</v>
      </c>
      <c r="S36" s="213">
        <v>4</v>
      </c>
      <c r="T36" s="213" t="s">
        <v>260</v>
      </c>
    </row>
    <row r="37" spans="2:20" ht="31.5" x14ac:dyDescent="0.25">
      <c r="E37" s="227" t="s">
        <v>240</v>
      </c>
      <c r="F37" s="227" t="s">
        <v>242</v>
      </c>
      <c r="G37" s="239" t="s">
        <v>243</v>
      </c>
      <c r="H37" s="239" t="s">
        <v>244</v>
      </c>
      <c r="I37" s="239" t="s">
        <v>245</v>
      </c>
      <c r="J37" s="239" t="s">
        <v>246</v>
      </c>
      <c r="Q37" s="214">
        <v>10</v>
      </c>
      <c r="R37" s="213">
        <v>4</v>
      </c>
      <c r="S37" s="213">
        <v>5</v>
      </c>
      <c r="T37" s="213" t="s">
        <v>260</v>
      </c>
    </row>
    <row r="38" spans="2:20" ht="16.5" customHeight="1" x14ac:dyDescent="0.25">
      <c r="B38" s="227">
        <v>1</v>
      </c>
      <c r="C38" s="483" t="s">
        <v>262</v>
      </c>
      <c r="D38" s="483"/>
      <c r="E38" s="221" t="s">
        <v>263</v>
      </c>
      <c r="F38" s="221" t="s">
        <v>263</v>
      </c>
      <c r="G38" s="221" t="s">
        <v>263</v>
      </c>
      <c r="H38" s="221" t="s">
        <v>263</v>
      </c>
      <c r="I38" s="221" t="s">
        <v>263</v>
      </c>
      <c r="J38" s="221" t="s">
        <v>263</v>
      </c>
      <c r="P38" s="214"/>
      <c r="Q38" s="214">
        <v>11</v>
      </c>
      <c r="R38" s="213">
        <v>5</v>
      </c>
      <c r="S38" s="213">
        <v>6</v>
      </c>
    </row>
    <row r="39" spans="2:20" ht="16.5" customHeight="1" x14ac:dyDescent="0.25">
      <c r="B39" s="222" t="s">
        <v>227</v>
      </c>
      <c r="C39" s="486" t="s">
        <v>264</v>
      </c>
      <c r="D39" s="486"/>
      <c r="E39" s="240">
        <f t="shared" ref="E39:J39" si="0">E29</f>
        <v>1084</v>
      </c>
      <c r="F39" s="240">
        <f t="shared" si="0"/>
        <v>1084</v>
      </c>
      <c r="G39" s="240">
        <f t="shared" si="0"/>
        <v>1084</v>
      </c>
      <c r="H39" s="240">
        <f t="shared" si="0"/>
        <v>1084</v>
      </c>
      <c r="I39" s="240" t="str">
        <f t="shared" si="0"/>
        <v>1084*</v>
      </c>
      <c r="J39" s="240" t="str">
        <f t="shared" si="0"/>
        <v>1084*</v>
      </c>
      <c r="L39" s="242"/>
      <c r="P39" s="214"/>
      <c r="Q39" s="214">
        <v>12</v>
      </c>
      <c r="R39" s="213">
        <v>6</v>
      </c>
      <c r="S39" s="213">
        <v>7</v>
      </c>
    </row>
    <row r="40" spans="2:20" ht="16.5" customHeight="1" x14ac:dyDescent="0.25">
      <c r="B40" s="222" t="s">
        <v>229</v>
      </c>
      <c r="C40" s="486" t="s">
        <v>265</v>
      </c>
      <c r="D40" s="486"/>
      <c r="E40" s="224">
        <f t="shared" ref="E40:J40" si="1">E39*30%</f>
        <v>325.2</v>
      </c>
      <c r="F40" s="224">
        <f t="shared" si="1"/>
        <v>325.2</v>
      </c>
      <c r="G40" s="224">
        <f t="shared" si="1"/>
        <v>325.2</v>
      </c>
      <c r="H40" s="224">
        <f t="shared" si="1"/>
        <v>325.2</v>
      </c>
      <c r="I40" s="224" t="e">
        <f t="shared" si="1"/>
        <v>#VALUE!</v>
      </c>
      <c r="J40" s="224" t="e">
        <f t="shared" si="1"/>
        <v>#VALUE!</v>
      </c>
      <c r="L40" s="242"/>
      <c r="P40" s="214"/>
    </row>
    <row r="41" spans="2:20" ht="16.5" customHeight="1" x14ac:dyDescent="0.25">
      <c r="B41" s="222" t="s">
        <v>232</v>
      </c>
      <c r="C41" s="486" t="s">
        <v>266</v>
      </c>
      <c r="D41" s="486"/>
      <c r="E41" s="224"/>
      <c r="F41" s="224"/>
      <c r="G41" s="224"/>
      <c r="H41" s="224"/>
      <c r="I41" s="224"/>
      <c r="J41" s="224"/>
      <c r="L41" s="242"/>
      <c r="P41" s="214"/>
    </row>
    <row r="42" spans="2:20" ht="16.5" customHeight="1" x14ac:dyDescent="0.25">
      <c r="B42" s="222" t="s">
        <v>234</v>
      </c>
      <c r="C42" s="486" t="s">
        <v>34</v>
      </c>
      <c r="D42" s="486"/>
      <c r="E42" s="224"/>
      <c r="F42" s="224"/>
      <c r="G42" s="224">
        <f>((G40+G39)*7/12*35%)</f>
        <v>287.71166666666664</v>
      </c>
      <c r="H42" s="224"/>
      <c r="I42" s="224"/>
      <c r="J42" s="224" t="e">
        <f>((J40+J39)*7/12*35%)</f>
        <v>#VALUE!</v>
      </c>
      <c r="L42" s="242"/>
      <c r="P42" s="214"/>
    </row>
    <row r="43" spans="2:20" ht="16.5" customHeight="1" x14ac:dyDescent="0.25">
      <c r="B43" s="222" t="s">
        <v>267</v>
      </c>
      <c r="C43" s="486" t="s">
        <v>268</v>
      </c>
      <c r="D43" s="486"/>
      <c r="E43" s="224"/>
      <c r="F43" s="224"/>
      <c r="G43" s="224">
        <f>((G39+G40)*8.33%*1.35)</f>
        <v>158.471586</v>
      </c>
      <c r="H43" s="224"/>
      <c r="I43" s="224"/>
      <c r="J43" s="224" t="e">
        <f>((J39+J40)*8.33%*1.35)</f>
        <v>#VALUE!</v>
      </c>
      <c r="L43" s="242"/>
      <c r="P43" s="214"/>
    </row>
    <row r="44" spans="2:20" ht="16.5" customHeight="1" x14ac:dyDescent="0.25">
      <c r="B44" s="222" t="s">
        <v>269</v>
      </c>
      <c r="C44" s="486" t="s">
        <v>41</v>
      </c>
      <c r="D44" s="486"/>
      <c r="E44" s="224"/>
      <c r="F44" s="224"/>
      <c r="G44" s="224"/>
      <c r="H44" s="224">
        <f>H39*50%</f>
        <v>542</v>
      </c>
      <c r="I44" s="224" t="e">
        <f>I39*50%</f>
        <v>#VALUE!</v>
      </c>
      <c r="J44" s="224" t="e">
        <f>J39*50%</f>
        <v>#VALUE!</v>
      </c>
      <c r="L44" s="242"/>
      <c r="P44" s="214"/>
    </row>
    <row r="45" spans="2:20" ht="16.5" customHeight="1" x14ac:dyDescent="0.25">
      <c r="B45" s="222" t="s">
        <v>270</v>
      </c>
      <c r="C45" s="486" t="s">
        <v>271</v>
      </c>
      <c r="D45" s="486"/>
      <c r="E45" s="224"/>
      <c r="F45" s="224"/>
      <c r="G45" s="224"/>
      <c r="H45" s="224"/>
      <c r="I45" s="224"/>
      <c r="J45" s="224"/>
      <c r="L45" s="242"/>
      <c r="P45" s="214"/>
    </row>
    <row r="46" spans="2:20" ht="16.5" customHeight="1" x14ac:dyDescent="0.25">
      <c r="B46" s="483" t="s">
        <v>44</v>
      </c>
      <c r="C46" s="483"/>
      <c r="D46" s="483"/>
      <c r="E46" s="243">
        <f t="shared" ref="E46:J46" si="2">SUM(E39:E45)</f>
        <v>1409.2</v>
      </c>
      <c r="F46" s="243">
        <f t="shared" si="2"/>
        <v>1409.2</v>
      </c>
      <c r="G46" s="243">
        <f t="shared" si="2"/>
        <v>1855.3832526666665</v>
      </c>
      <c r="H46" s="243">
        <f t="shared" si="2"/>
        <v>1951.2</v>
      </c>
      <c r="I46" s="243" t="e">
        <f t="shared" si="2"/>
        <v>#VALUE!</v>
      </c>
      <c r="J46" s="243" t="e">
        <f t="shared" si="2"/>
        <v>#VALUE!</v>
      </c>
      <c r="L46" s="242"/>
      <c r="P46" s="214"/>
    </row>
    <row r="47" spans="2:20" x14ac:dyDescent="0.25">
      <c r="L47" s="242"/>
    </row>
    <row r="48" spans="2:20" x14ac:dyDescent="0.25">
      <c r="L48" s="242"/>
    </row>
    <row r="49" spans="2:16" x14ac:dyDescent="0.25">
      <c r="B49" s="487" t="s">
        <v>272</v>
      </c>
      <c r="C49" s="487"/>
      <c r="D49" s="487"/>
      <c r="E49" s="487"/>
      <c r="F49" s="487"/>
      <c r="G49" s="487"/>
      <c r="H49" s="487"/>
      <c r="I49" s="487"/>
      <c r="J49" s="487"/>
      <c r="L49" s="242"/>
    </row>
    <row r="50" spans="2:16" x14ac:dyDescent="0.25">
      <c r="B50" s="244"/>
      <c r="L50" s="242"/>
    </row>
    <row r="51" spans="2:16" x14ac:dyDescent="0.25">
      <c r="B51" s="488" t="s">
        <v>273</v>
      </c>
      <c r="C51" s="488"/>
      <c r="D51" s="488"/>
      <c r="E51" s="488"/>
      <c r="F51" s="488"/>
      <c r="G51" s="488"/>
      <c r="H51" s="488"/>
      <c r="I51" s="488"/>
      <c r="J51" s="488"/>
      <c r="L51" s="242"/>
    </row>
    <row r="52" spans="2:16" x14ac:dyDescent="0.25">
      <c r="L52" s="242"/>
    </row>
    <row r="53" spans="2:16" ht="31.5" x14ac:dyDescent="0.25">
      <c r="E53" s="227" t="s">
        <v>240</v>
      </c>
      <c r="F53" s="227" t="s">
        <v>242</v>
      </c>
      <c r="G53" s="239" t="s">
        <v>243</v>
      </c>
      <c r="H53" s="239" t="s">
        <v>244</v>
      </c>
      <c r="I53" s="239" t="s">
        <v>245</v>
      </c>
      <c r="J53" s="239" t="s">
        <v>246</v>
      </c>
      <c r="L53" s="242"/>
    </row>
    <row r="54" spans="2:16" ht="32.25" customHeight="1" x14ac:dyDescent="0.25">
      <c r="B54" s="227" t="s">
        <v>274</v>
      </c>
      <c r="C54" s="483" t="s">
        <v>275</v>
      </c>
      <c r="D54" s="483"/>
      <c r="E54" s="221" t="s">
        <v>263</v>
      </c>
      <c r="F54" s="221" t="s">
        <v>263</v>
      </c>
      <c r="G54" s="221" t="s">
        <v>263</v>
      </c>
      <c r="H54" s="221" t="s">
        <v>263</v>
      </c>
      <c r="I54" s="221" t="s">
        <v>263</v>
      </c>
      <c r="J54" s="221" t="s">
        <v>263</v>
      </c>
      <c r="L54" s="242"/>
      <c r="P54" s="214"/>
    </row>
    <row r="55" spans="2:16" ht="16.5" customHeight="1" x14ac:dyDescent="0.25">
      <c r="B55" s="222" t="s">
        <v>227</v>
      </c>
      <c r="C55" s="486" t="s">
        <v>276</v>
      </c>
      <c r="D55" s="486"/>
      <c r="E55" s="224">
        <f>E46*8.33%</f>
        <v>117.38636</v>
      </c>
      <c r="F55" s="224">
        <f>F46*8.33%</f>
        <v>117.38636</v>
      </c>
      <c r="G55" s="224">
        <f>G46*8.33%</f>
        <v>154.55342494713332</v>
      </c>
      <c r="H55" s="224">
        <f>H46*8.33%</f>
        <v>162.53496000000001</v>
      </c>
      <c r="I55" s="224" t="e">
        <f>(1/12)*I46</f>
        <v>#VALUE!</v>
      </c>
      <c r="J55" s="224" t="e">
        <f>(1/12)*J46</f>
        <v>#VALUE!</v>
      </c>
      <c r="L55" s="242"/>
      <c r="P55" s="214"/>
    </row>
    <row r="56" spans="2:16" ht="16.5" customHeight="1" x14ac:dyDescent="0.25">
      <c r="B56" s="222" t="s">
        <v>229</v>
      </c>
      <c r="C56" s="486" t="s">
        <v>277</v>
      </c>
      <c r="D56" s="486"/>
      <c r="E56" s="224">
        <f>E46*12.1%</f>
        <v>170.51320000000001</v>
      </c>
      <c r="F56" s="224">
        <f>F46*12.1%</f>
        <v>170.51320000000001</v>
      </c>
      <c r="G56" s="224">
        <f>G46*12.1%</f>
        <v>224.50137357266664</v>
      </c>
      <c r="H56" s="224">
        <f>H46*12.1%</f>
        <v>236.09520000000001</v>
      </c>
      <c r="I56" s="224" t="e">
        <f>((1/12)+((1/3)/12))*I46</f>
        <v>#VALUE!</v>
      </c>
      <c r="J56" s="224" t="e">
        <f>((1/12)+((1/3)/12))*J46</f>
        <v>#VALUE!</v>
      </c>
      <c r="L56" s="242"/>
      <c r="P56" s="214"/>
    </row>
    <row r="57" spans="2:16" ht="16.5" customHeight="1" x14ac:dyDescent="0.25">
      <c r="B57" s="483" t="s">
        <v>44</v>
      </c>
      <c r="C57" s="483"/>
      <c r="D57" s="483"/>
      <c r="E57" s="246">
        <f t="shared" ref="E57:J57" si="3">SUM(E55:E56)</f>
        <v>287.89956000000001</v>
      </c>
      <c r="F57" s="246">
        <f t="shared" si="3"/>
        <v>287.89956000000001</v>
      </c>
      <c r="G57" s="246">
        <f t="shared" si="3"/>
        <v>379.05479851979999</v>
      </c>
      <c r="H57" s="246">
        <f t="shared" si="3"/>
        <v>398.63016000000005</v>
      </c>
      <c r="I57" s="246" t="e">
        <f t="shared" si="3"/>
        <v>#VALUE!</v>
      </c>
      <c r="J57" s="246" t="e">
        <f t="shared" si="3"/>
        <v>#VALUE!</v>
      </c>
      <c r="L57" s="242"/>
      <c r="P57" s="214"/>
    </row>
    <row r="58" spans="2:16" x14ac:dyDescent="0.25">
      <c r="L58" s="242"/>
    </row>
    <row r="59" spans="2:16" x14ac:dyDescent="0.25">
      <c r="L59" s="242"/>
    </row>
    <row r="60" spans="2:16" ht="24.75" customHeight="1" x14ac:dyDescent="0.25">
      <c r="B60" s="489" t="s">
        <v>278</v>
      </c>
      <c r="C60" s="489"/>
      <c r="D60" s="489"/>
      <c r="E60" s="489"/>
      <c r="F60" s="489"/>
      <c r="G60" s="489"/>
      <c r="H60" s="489"/>
      <c r="I60" s="489"/>
      <c r="J60" s="489"/>
      <c r="L60" s="242"/>
    </row>
    <row r="61" spans="2:16" x14ac:dyDescent="0.25">
      <c r="L61" s="242"/>
    </row>
    <row r="62" spans="2:16" ht="31.5" x14ac:dyDescent="0.25">
      <c r="E62" s="227" t="s">
        <v>240</v>
      </c>
      <c r="F62" s="227" t="s">
        <v>242</v>
      </c>
      <c r="G62" s="239" t="s">
        <v>243</v>
      </c>
      <c r="H62" s="239" t="s">
        <v>244</v>
      </c>
      <c r="I62" s="239" t="s">
        <v>245</v>
      </c>
      <c r="J62" s="239" t="s">
        <v>246</v>
      </c>
      <c r="L62" s="242"/>
    </row>
    <row r="63" spans="2:16" ht="21.75" customHeight="1" x14ac:dyDescent="0.25">
      <c r="B63" s="227" t="s">
        <v>279</v>
      </c>
      <c r="C63" s="221" t="s">
        <v>280</v>
      </c>
      <c r="D63" s="221" t="s">
        <v>281</v>
      </c>
      <c r="E63" s="221" t="s">
        <v>263</v>
      </c>
      <c r="F63" s="221" t="s">
        <v>263</v>
      </c>
      <c r="G63" s="221" t="s">
        <v>263</v>
      </c>
      <c r="H63" s="221" t="s">
        <v>263</v>
      </c>
      <c r="I63" s="221" t="s">
        <v>263</v>
      </c>
      <c r="J63" s="221" t="s">
        <v>263</v>
      </c>
      <c r="L63" s="242"/>
    </row>
    <row r="64" spans="2:16" x14ac:dyDescent="0.25">
      <c r="B64" s="222" t="s">
        <v>227</v>
      </c>
      <c r="C64" s="223" t="s">
        <v>282</v>
      </c>
      <c r="D64" s="248">
        <v>0.2</v>
      </c>
      <c r="E64" s="224">
        <f t="shared" ref="E64:E71" si="4">($E$57+$E$46)*D64</f>
        <v>339.41991200000007</v>
      </c>
      <c r="F64" s="224">
        <f t="shared" ref="F64:F71" si="5">($F$57+$E$46)*D64</f>
        <v>339.41991200000007</v>
      </c>
      <c r="G64" s="224">
        <f t="shared" ref="G64:G71" si="6">($G$57+$E$46)*D64</f>
        <v>357.65095970396004</v>
      </c>
      <c r="H64" s="224">
        <f t="shared" ref="H64:H71" si="7">($H$57+$E$46)*D64</f>
        <v>361.56603200000001</v>
      </c>
      <c r="I64" s="224" t="e">
        <f t="shared" ref="I64:I71" si="8">($I$57+$E$46)*D64</f>
        <v>#VALUE!</v>
      </c>
      <c r="J64" s="224" t="e">
        <f t="shared" ref="J64:J71" si="9">($J$57+$E$46)*D64</f>
        <v>#VALUE!</v>
      </c>
      <c r="L64" s="242"/>
    </row>
    <row r="65" spans="2:16" x14ac:dyDescent="0.25">
      <c r="B65" s="222" t="s">
        <v>229</v>
      </c>
      <c r="C65" s="223" t="s">
        <v>283</v>
      </c>
      <c r="D65" s="248">
        <v>2.5000000000000001E-2</v>
      </c>
      <c r="E65" s="224">
        <f t="shared" si="4"/>
        <v>42.427489000000008</v>
      </c>
      <c r="F65" s="224">
        <f t="shared" si="5"/>
        <v>42.427489000000008</v>
      </c>
      <c r="G65" s="224">
        <f t="shared" si="6"/>
        <v>44.706369962995005</v>
      </c>
      <c r="H65" s="224">
        <f t="shared" si="7"/>
        <v>45.195754000000001</v>
      </c>
      <c r="I65" s="224" t="e">
        <f t="shared" si="8"/>
        <v>#VALUE!</v>
      </c>
      <c r="J65" s="224" t="e">
        <f t="shared" si="9"/>
        <v>#VALUE!</v>
      </c>
      <c r="L65" s="242"/>
    </row>
    <row r="66" spans="2:16" x14ac:dyDescent="0.25">
      <c r="B66" s="222" t="s">
        <v>232</v>
      </c>
      <c r="C66" s="223" t="s">
        <v>284</v>
      </c>
      <c r="D66" s="248">
        <v>0.03</v>
      </c>
      <c r="E66" s="224">
        <f t="shared" si="4"/>
        <v>50.912986799999999</v>
      </c>
      <c r="F66" s="224">
        <f t="shared" si="5"/>
        <v>50.912986799999999</v>
      </c>
      <c r="G66" s="224">
        <f t="shared" si="6"/>
        <v>53.647643955593999</v>
      </c>
      <c r="H66" s="224">
        <f t="shared" si="7"/>
        <v>54.234904799999995</v>
      </c>
      <c r="I66" s="224" t="e">
        <f t="shared" si="8"/>
        <v>#VALUE!</v>
      </c>
      <c r="J66" s="224" t="e">
        <f t="shared" si="9"/>
        <v>#VALUE!</v>
      </c>
      <c r="L66" s="242"/>
    </row>
    <row r="67" spans="2:16" x14ac:dyDescent="0.25">
      <c r="B67" s="222" t="s">
        <v>234</v>
      </c>
      <c r="C67" s="223" t="s">
        <v>285</v>
      </c>
      <c r="D67" s="248">
        <v>1.4999999999999999E-2</v>
      </c>
      <c r="E67" s="224">
        <f t="shared" si="4"/>
        <v>25.456493399999999</v>
      </c>
      <c r="F67" s="224">
        <f t="shared" si="5"/>
        <v>25.456493399999999</v>
      </c>
      <c r="G67" s="224">
        <f t="shared" si="6"/>
        <v>26.823821977797</v>
      </c>
      <c r="H67" s="224">
        <f t="shared" si="7"/>
        <v>27.117452399999998</v>
      </c>
      <c r="I67" s="224" t="e">
        <f t="shared" si="8"/>
        <v>#VALUE!</v>
      </c>
      <c r="J67" s="224" t="e">
        <f t="shared" si="9"/>
        <v>#VALUE!</v>
      </c>
      <c r="L67" s="242"/>
    </row>
    <row r="68" spans="2:16" x14ac:dyDescent="0.25">
      <c r="B68" s="222" t="s">
        <v>267</v>
      </c>
      <c r="C68" s="223" t="s">
        <v>286</v>
      </c>
      <c r="D68" s="248">
        <v>0.01</v>
      </c>
      <c r="E68" s="224">
        <f t="shared" si="4"/>
        <v>16.970995600000002</v>
      </c>
      <c r="F68" s="224">
        <f t="shared" si="5"/>
        <v>16.970995600000002</v>
      </c>
      <c r="G68" s="224">
        <f t="shared" si="6"/>
        <v>17.882547985198002</v>
      </c>
      <c r="H68" s="224">
        <f t="shared" si="7"/>
        <v>18.0783016</v>
      </c>
      <c r="I68" s="224" t="e">
        <f t="shared" si="8"/>
        <v>#VALUE!</v>
      </c>
      <c r="J68" s="224" t="e">
        <f t="shared" si="9"/>
        <v>#VALUE!</v>
      </c>
      <c r="L68" s="242"/>
    </row>
    <row r="69" spans="2:16" x14ac:dyDescent="0.25">
      <c r="B69" s="222" t="s">
        <v>269</v>
      </c>
      <c r="C69" s="223" t="s">
        <v>64</v>
      </c>
      <c r="D69" s="248">
        <v>6.0000000000000001E-3</v>
      </c>
      <c r="E69" s="224">
        <f t="shared" si="4"/>
        <v>10.182597360000001</v>
      </c>
      <c r="F69" s="224">
        <f t="shared" si="5"/>
        <v>10.182597360000001</v>
      </c>
      <c r="G69" s="224">
        <f t="shared" si="6"/>
        <v>10.729528791118801</v>
      </c>
      <c r="H69" s="224">
        <f t="shared" si="7"/>
        <v>10.84698096</v>
      </c>
      <c r="I69" s="224" t="e">
        <f t="shared" si="8"/>
        <v>#VALUE!</v>
      </c>
      <c r="J69" s="224" t="e">
        <f t="shared" si="9"/>
        <v>#VALUE!</v>
      </c>
      <c r="L69" s="242"/>
    </row>
    <row r="70" spans="2:16" x14ac:dyDescent="0.25">
      <c r="B70" s="222" t="s">
        <v>270</v>
      </c>
      <c r="C70" s="223" t="s">
        <v>65</v>
      </c>
      <c r="D70" s="248">
        <v>2E-3</v>
      </c>
      <c r="E70" s="224">
        <f t="shared" si="4"/>
        <v>3.3941991200000001</v>
      </c>
      <c r="F70" s="224">
        <f t="shared" si="5"/>
        <v>3.3941991200000001</v>
      </c>
      <c r="G70" s="224">
        <f t="shared" si="6"/>
        <v>3.5765095970396001</v>
      </c>
      <c r="H70" s="224">
        <f t="shared" si="7"/>
        <v>3.6156603199999999</v>
      </c>
      <c r="I70" s="224" t="e">
        <f t="shared" si="8"/>
        <v>#VALUE!</v>
      </c>
      <c r="J70" s="224" t="e">
        <f t="shared" si="9"/>
        <v>#VALUE!</v>
      </c>
      <c r="L70" s="242"/>
    </row>
    <row r="71" spans="2:16" x14ac:dyDescent="0.25">
      <c r="B71" s="222" t="s">
        <v>287</v>
      </c>
      <c r="C71" s="223" t="s">
        <v>66</v>
      </c>
      <c r="D71" s="248">
        <v>0.08</v>
      </c>
      <c r="E71" s="224">
        <f t="shared" si="4"/>
        <v>135.76796480000002</v>
      </c>
      <c r="F71" s="224">
        <f t="shared" si="5"/>
        <v>135.76796480000002</v>
      </c>
      <c r="G71" s="224">
        <f t="shared" si="6"/>
        <v>143.06038388158402</v>
      </c>
      <c r="H71" s="224">
        <f t="shared" si="7"/>
        <v>144.6264128</v>
      </c>
      <c r="I71" s="224" t="e">
        <f t="shared" si="8"/>
        <v>#VALUE!</v>
      </c>
      <c r="J71" s="224" t="e">
        <f t="shared" si="9"/>
        <v>#VALUE!</v>
      </c>
      <c r="L71" s="242"/>
    </row>
    <row r="72" spans="2:16" ht="24" customHeight="1" x14ac:dyDescent="0.25">
      <c r="B72" s="483" t="s">
        <v>288</v>
      </c>
      <c r="C72" s="483"/>
      <c r="D72" s="249">
        <f t="shared" ref="D72:J72" si="10">SUM(D64:D71)</f>
        <v>0.36800000000000005</v>
      </c>
      <c r="E72" s="243">
        <f t="shared" si="10"/>
        <v>624.53263808000008</v>
      </c>
      <c r="F72" s="243">
        <f t="shared" si="10"/>
        <v>624.53263808000008</v>
      </c>
      <c r="G72" s="243">
        <f t="shared" si="10"/>
        <v>658.07776585528643</v>
      </c>
      <c r="H72" s="243">
        <f t="shared" si="10"/>
        <v>665.28149887999996</v>
      </c>
      <c r="I72" s="243" t="e">
        <f t="shared" si="10"/>
        <v>#VALUE!</v>
      </c>
      <c r="J72" s="243" t="e">
        <f t="shared" si="10"/>
        <v>#VALUE!</v>
      </c>
      <c r="L72" s="242"/>
    </row>
    <row r="73" spans="2:16" x14ac:dyDescent="0.25">
      <c r="L73" s="242"/>
    </row>
    <row r="74" spans="2:16" x14ac:dyDescent="0.25">
      <c r="L74" s="242"/>
    </row>
    <row r="75" spans="2:16" x14ac:dyDescent="0.25">
      <c r="B75" s="488" t="s">
        <v>289</v>
      </c>
      <c r="C75" s="488"/>
      <c r="D75" s="488"/>
      <c r="E75" s="488"/>
      <c r="F75" s="488"/>
      <c r="G75" s="488"/>
      <c r="H75" s="488"/>
      <c r="I75" s="488"/>
      <c r="J75" s="488"/>
      <c r="L75" s="242"/>
    </row>
    <row r="76" spans="2:16" x14ac:dyDescent="0.25">
      <c r="L76" s="242"/>
    </row>
    <row r="77" spans="2:16" ht="31.5" x14ac:dyDescent="0.25">
      <c r="E77" s="227" t="s">
        <v>240</v>
      </c>
      <c r="F77" s="227" t="s">
        <v>242</v>
      </c>
      <c r="G77" s="239" t="s">
        <v>243</v>
      </c>
      <c r="H77" s="239" t="s">
        <v>244</v>
      </c>
      <c r="I77" s="239" t="s">
        <v>245</v>
      </c>
      <c r="J77" s="239" t="s">
        <v>246</v>
      </c>
      <c r="L77" s="242"/>
    </row>
    <row r="78" spans="2:16" ht="16.5" customHeight="1" x14ac:dyDescent="0.25">
      <c r="B78" s="227" t="s">
        <v>290</v>
      </c>
      <c r="C78" s="483" t="s">
        <v>291</v>
      </c>
      <c r="D78" s="483"/>
      <c r="E78" s="250" t="s">
        <v>263</v>
      </c>
      <c r="F78" s="250" t="s">
        <v>263</v>
      </c>
      <c r="G78" s="250" t="s">
        <v>263</v>
      </c>
      <c r="H78" s="250" t="s">
        <v>263</v>
      </c>
      <c r="I78" s="250" t="s">
        <v>263</v>
      </c>
      <c r="J78" s="250" t="s">
        <v>263</v>
      </c>
      <c r="L78" s="242"/>
      <c r="P78" s="214"/>
    </row>
    <row r="79" spans="2:16" ht="16.5" customHeight="1" x14ac:dyDescent="0.25">
      <c r="B79" s="222" t="s">
        <v>227</v>
      </c>
      <c r="C79" s="486" t="s">
        <v>292</v>
      </c>
      <c r="D79" s="486"/>
      <c r="E79" s="251">
        <f>(4*2*22)-E39*0.06</f>
        <v>110.96000000000001</v>
      </c>
      <c r="F79" s="251">
        <f>(4*2*15)-F39*50%*0.06</f>
        <v>87.48</v>
      </c>
      <c r="G79" s="251">
        <f>(4*2*15)-G39*50%*0.06</f>
        <v>87.48</v>
      </c>
      <c r="H79" s="251">
        <f>(4*2*22)-H39*0.06</f>
        <v>110.96000000000001</v>
      </c>
      <c r="I79" s="251" t="e">
        <f>(4*2*15)-I39*50%*0.06</f>
        <v>#VALUE!</v>
      </c>
      <c r="J79" s="251" t="e">
        <f>(4*2*15)-J39*50%*0.06</f>
        <v>#VALUE!</v>
      </c>
      <c r="L79" s="242"/>
      <c r="P79" s="214"/>
    </row>
    <row r="80" spans="2:16" ht="16.5" customHeight="1" x14ac:dyDescent="0.25">
      <c r="B80" s="222" t="s">
        <v>229</v>
      </c>
      <c r="C80" s="486" t="s">
        <v>293</v>
      </c>
      <c r="D80" s="486"/>
      <c r="E80" s="251">
        <f>(13.52*22)-(15%*(13.52*22))</f>
        <v>252.82400000000001</v>
      </c>
      <c r="F80" s="251">
        <f>(13.52*15)-(15%*(13.52*15))</f>
        <v>172.38</v>
      </c>
      <c r="G80" s="251">
        <f>(13.52*15)-(15%*(13.52*15))</f>
        <v>172.38</v>
      </c>
      <c r="H80" s="251">
        <f>(13.52*22)-(15%*(13.52*22))</f>
        <v>252.82400000000001</v>
      </c>
      <c r="I80" s="251">
        <f>(13.52*15)-(15%*(13.52*15))</f>
        <v>172.38</v>
      </c>
      <c r="J80" s="251">
        <f>(13.52*15)-(15%*(13.52*15))</f>
        <v>172.38</v>
      </c>
      <c r="L80" s="242"/>
      <c r="P80" s="214"/>
    </row>
    <row r="81" spans="2:21" ht="16.5" customHeight="1" x14ac:dyDescent="0.25">
      <c r="B81" s="222" t="s">
        <v>232</v>
      </c>
      <c r="C81" s="486" t="s">
        <v>294</v>
      </c>
      <c r="D81" s="486"/>
      <c r="E81" s="251"/>
      <c r="F81" s="251"/>
      <c r="G81" s="251"/>
      <c r="H81" s="251"/>
      <c r="I81" s="251"/>
      <c r="J81" s="251"/>
      <c r="L81" s="242"/>
      <c r="P81" s="214"/>
    </row>
    <row r="82" spans="2:21" ht="16.5" customHeight="1" x14ac:dyDescent="0.25">
      <c r="B82" s="222" t="s">
        <v>234</v>
      </c>
      <c r="C82" s="486" t="s">
        <v>295</v>
      </c>
      <c r="D82" s="486"/>
      <c r="E82" s="251"/>
      <c r="F82" s="251"/>
      <c r="G82" s="251"/>
      <c r="H82" s="251"/>
      <c r="I82" s="251"/>
      <c r="J82" s="251"/>
      <c r="L82" s="242"/>
      <c r="P82" s="214"/>
    </row>
    <row r="83" spans="2:21" ht="16.5" customHeight="1" x14ac:dyDescent="0.25">
      <c r="B83" s="222" t="s">
        <v>267</v>
      </c>
      <c r="C83" s="486" t="s">
        <v>296</v>
      </c>
      <c r="D83" s="486"/>
      <c r="E83" s="251"/>
      <c r="F83" s="251"/>
      <c r="G83" s="251"/>
      <c r="H83" s="251"/>
      <c r="I83" s="251"/>
      <c r="J83" s="251"/>
      <c r="L83" s="242"/>
      <c r="P83" s="214"/>
    </row>
    <row r="84" spans="2:21" ht="16.5" customHeight="1" x14ac:dyDescent="0.25">
      <c r="B84" s="222" t="s">
        <v>269</v>
      </c>
      <c r="C84" s="486" t="s">
        <v>297</v>
      </c>
      <c r="D84" s="486"/>
      <c r="E84" s="251"/>
      <c r="F84" s="251"/>
      <c r="G84" s="251">
        <v>40.200000000000003</v>
      </c>
      <c r="H84" s="251"/>
      <c r="I84" s="251"/>
      <c r="J84" s="251">
        <v>40.200000000000003</v>
      </c>
      <c r="L84" s="252"/>
      <c r="P84" s="214"/>
      <c r="Q84" s="214"/>
      <c r="R84" s="214"/>
      <c r="S84" s="214"/>
      <c r="T84" s="214"/>
      <c r="U84" s="214"/>
    </row>
    <row r="85" spans="2:21" ht="16.5" customHeight="1" x14ac:dyDescent="0.25">
      <c r="B85" s="222" t="s">
        <v>270</v>
      </c>
      <c r="C85" s="486" t="s">
        <v>298</v>
      </c>
      <c r="D85" s="486"/>
      <c r="E85" s="251">
        <f t="shared" ref="E85:J85" si="11">(E39*8.5%*9)/12</f>
        <v>69.105000000000004</v>
      </c>
      <c r="F85" s="251">
        <f t="shared" si="11"/>
        <v>69.105000000000004</v>
      </c>
      <c r="G85" s="251">
        <f t="shared" si="11"/>
        <v>69.105000000000004</v>
      </c>
      <c r="H85" s="251">
        <f t="shared" si="11"/>
        <v>69.105000000000004</v>
      </c>
      <c r="I85" s="251" t="e">
        <f t="shared" si="11"/>
        <v>#VALUE!</v>
      </c>
      <c r="J85" s="251" t="e">
        <f t="shared" si="11"/>
        <v>#VALUE!</v>
      </c>
      <c r="L85" s="252" t="s">
        <v>299</v>
      </c>
      <c r="P85" s="214"/>
      <c r="Q85" s="214"/>
      <c r="R85" s="214"/>
      <c r="S85" s="214"/>
      <c r="T85" s="214"/>
      <c r="U85" s="214"/>
    </row>
    <row r="86" spans="2:21" ht="16.5" customHeight="1" x14ac:dyDescent="0.25">
      <c r="B86" s="222" t="s">
        <v>287</v>
      </c>
      <c r="C86" s="486" t="s">
        <v>300</v>
      </c>
      <c r="D86" s="486"/>
      <c r="E86" s="251">
        <f>(9.61*8.8)/12</f>
        <v>7.0473333333333334</v>
      </c>
      <c r="F86" s="251">
        <f>(9.61*12*50%)/12</f>
        <v>4.8049999999999997</v>
      </c>
      <c r="G86" s="251">
        <f>(9.61*12*50%)/12</f>
        <v>4.8049999999999997</v>
      </c>
      <c r="H86" s="251">
        <f>(9.61*8.8)/12</f>
        <v>7.0473333333333334</v>
      </c>
      <c r="I86" s="251">
        <f>(9.61*12*50%)/12</f>
        <v>4.8049999999999997</v>
      </c>
      <c r="J86" s="251">
        <f>(9.61*12*50%)/12</f>
        <v>4.8049999999999997</v>
      </c>
      <c r="L86" s="252"/>
      <c r="P86" s="214"/>
      <c r="Q86" s="214"/>
      <c r="R86" s="214"/>
      <c r="S86" s="214"/>
      <c r="T86" s="214"/>
      <c r="U86" s="214"/>
    </row>
    <row r="87" spans="2:21" ht="16.5" customHeight="1" x14ac:dyDescent="0.25">
      <c r="B87" s="483" t="s">
        <v>44</v>
      </c>
      <c r="C87" s="483"/>
      <c r="D87" s="483"/>
      <c r="E87" s="253">
        <f t="shared" ref="E87:J87" si="12">SUM(E79:E86)</f>
        <v>439.93633333333332</v>
      </c>
      <c r="F87" s="253">
        <f t="shared" si="12"/>
        <v>333.77000000000004</v>
      </c>
      <c r="G87" s="253">
        <f t="shared" si="12"/>
        <v>373.97</v>
      </c>
      <c r="H87" s="253">
        <f t="shared" si="12"/>
        <v>439.93633333333332</v>
      </c>
      <c r="I87" s="253" t="e">
        <f t="shared" si="12"/>
        <v>#VALUE!</v>
      </c>
      <c r="J87" s="253" t="e">
        <f t="shared" si="12"/>
        <v>#VALUE!</v>
      </c>
      <c r="L87" s="242"/>
      <c r="P87" s="214"/>
      <c r="Q87" s="214"/>
      <c r="R87" s="214"/>
      <c r="S87" s="214"/>
      <c r="T87" s="214"/>
      <c r="U87" s="214"/>
    </row>
    <row r="88" spans="2:21" x14ac:dyDescent="0.25">
      <c r="L88" s="242"/>
      <c r="P88" s="214"/>
      <c r="Q88" s="214"/>
      <c r="R88" s="214"/>
      <c r="S88" s="214"/>
      <c r="T88" s="214"/>
    </row>
    <row r="89" spans="2:21" x14ac:dyDescent="0.25">
      <c r="L89" s="242"/>
      <c r="P89" s="214"/>
      <c r="Q89" s="214"/>
      <c r="R89" s="214"/>
      <c r="S89" s="214"/>
      <c r="T89" s="214"/>
    </row>
    <row r="90" spans="2:21" x14ac:dyDescent="0.25">
      <c r="B90" s="488" t="s">
        <v>301</v>
      </c>
      <c r="C90" s="488"/>
      <c r="D90" s="488"/>
      <c r="E90" s="488"/>
      <c r="F90" s="488"/>
      <c r="G90" s="488"/>
      <c r="H90" s="488"/>
      <c r="I90" s="488"/>
      <c r="J90" s="488"/>
      <c r="L90" s="242"/>
      <c r="P90" s="214"/>
      <c r="Q90" s="214"/>
      <c r="R90" s="214"/>
      <c r="S90" s="214"/>
      <c r="T90" s="214"/>
    </row>
    <row r="91" spans="2:21" x14ac:dyDescent="0.25">
      <c r="L91" s="242"/>
      <c r="P91" s="214"/>
      <c r="Q91" s="214"/>
      <c r="R91" s="214"/>
      <c r="S91" s="214"/>
      <c r="T91" s="214"/>
    </row>
    <row r="92" spans="2:21" ht="31.5" x14ac:dyDescent="0.25">
      <c r="E92" s="227" t="s">
        <v>240</v>
      </c>
      <c r="F92" s="227" t="s">
        <v>242</v>
      </c>
      <c r="G92" s="239" t="s">
        <v>243</v>
      </c>
      <c r="H92" s="239" t="s">
        <v>244</v>
      </c>
      <c r="I92" s="239" t="s">
        <v>245</v>
      </c>
      <c r="J92" s="239" t="s">
        <v>246</v>
      </c>
      <c r="L92" s="242"/>
      <c r="P92" s="214"/>
      <c r="Q92" s="214"/>
      <c r="R92" s="214"/>
      <c r="S92" s="214"/>
      <c r="T92" s="214"/>
    </row>
    <row r="93" spans="2:21" ht="16.5" customHeight="1" x14ac:dyDescent="0.25">
      <c r="B93" s="227">
        <v>2</v>
      </c>
      <c r="C93" s="483" t="s">
        <v>302</v>
      </c>
      <c r="D93" s="483"/>
      <c r="E93" s="221" t="s">
        <v>263</v>
      </c>
      <c r="F93" s="221" t="s">
        <v>263</v>
      </c>
      <c r="G93" s="221" t="s">
        <v>263</v>
      </c>
      <c r="H93" s="221" t="s">
        <v>263</v>
      </c>
      <c r="I93" s="221" t="s">
        <v>263</v>
      </c>
      <c r="J93" s="221" t="s">
        <v>263</v>
      </c>
      <c r="L93" s="242"/>
      <c r="P93" s="214"/>
      <c r="Q93" s="214"/>
      <c r="R93" s="214"/>
      <c r="S93" s="214"/>
      <c r="T93" s="214"/>
      <c r="U93" s="214"/>
    </row>
    <row r="94" spans="2:21" ht="21" customHeight="1" x14ac:dyDescent="0.25">
      <c r="B94" s="222" t="s">
        <v>274</v>
      </c>
      <c r="C94" s="486" t="s">
        <v>275</v>
      </c>
      <c r="D94" s="486"/>
      <c r="E94" s="224">
        <f t="shared" ref="E94:J94" si="13">E57</f>
        <v>287.89956000000001</v>
      </c>
      <c r="F94" s="224">
        <f t="shared" si="13"/>
        <v>287.89956000000001</v>
      </c>
      <c r="G94" s="224">
        <f t="shared" si="13"/>
        <v>379.05479851979999</v>
      </c>
      <c r="H94" s="224">
        <f t="shared" si="13"/>
        <v>398.63016000000005</v>
      </c>
      <c r="I94" s="224" t="e">
        <f t="shared" si="13"/>
        <v>#VALUE!</v>
      </c>
      <c r="J94" s="224" t="e">
        <f t="shared" si="13"/>
        <v>#VALUE!</v>
      </c>
      <c r="K94" s="254"/>
      <c r="L94" s="242"/>
      <c r="P94" s="214"/>
      <c r="Q94" s="214"/>
      <c r="R94" s="214"/>
      <c r="S94" s="214"/>
      <c r="T94" s="214"/>
      <c r="U94" s="214"/>
    </row>
    <row r="95" spans="2:21" ht="16.5" customHeight="1" x14ac:dyDescent="0.25">
      <c r="B95" s="222" t="s">
        <v>279</v>
      </c>
      <c r="C95" s="486" t="s">
        <v>280</v>
      </c>
      <c r="D95" s="486"/>
      <c r="E95" s="224">
        <f t="shared" ref="E95:J95" si="14">E72</f>
        <v>624.53263808000008</v>
      </c>
      <c r="F95" s="224">
        <f t="shared" si="14"/>
        <v>624.53263808000008</v>
      </c>
      <c r="G95" s="224">
        <f t="shared" si="14"/>
        <v>658.07776585528643</v>
      </c>
      <c r="H95" s="224">
        <f t="shared" si="14"/>
        <v>665.28149887999996</v>
      </c>
      <c r="I95" s="224" t="e">
        <f t="shared" si="14"/>
        <v>#VALUE!</v>
      </c>
      <c r="J95" s="224" t="e">
        <f t="shared" si="14"/>
        <v>#VALUE!</v>
      </c>
      <c r="L95" s="242"/>
      <c r="P95" s="214"/>
      <c r="Q95" s="214"/>
      <c r="R95" s="214"/>
      <c r="S95" s="214"/>
      <c r="T95" s="214"/>
      <c r="U95" s="214"/>
    </row>
    <row r="96" spans="2:21" ht="16.5" customHeight="1" x14ac:dyDescent="0.25">
      <c r="B96" s="222" t="s">
        <v>290</v>
      </c>
      <c r="C96" s="486" t="s">
        <v>291</v>
      </c>
      <c r="D96" s="486"/>
      <c r="E96" s="224">
        <f t="shared" ref="E96:J96" si="15">E87</f>
        <v>439.93633333333332</v>
      </c>
      <c r="F96" s="224">
        <f t="shared" si="15"/>
        <v>333.77000000000004</v>
      </c>
      <c r="G96" s="224">
        <f t="shared" si="15"/>
        <v>373.97</v>
      </c>
      <c r="H96" s="224">
        <f t="shared" si="15"/>
        <v>439.93633333333332</v>
      </c>
      <c r="I96" s="224" t="e">
        <f t="shared" si="15"/>
        <v>#VALUE!</v>
      </c>
      <c r="J96" s="224" t="e">
        <f t="shared" si="15"/>
        <v>#VALUE!</v>
      </c>
      <c r="L96" s="242"/>
      <c r="P96" s="214"/>
      <c r="Q96" s="214"/>
      <c r="R96" s="214"/>
      <c r="S96" s="214"/>
      <c r="T96" s="214"/>
      <c r="U96" s="214"/>
    </row>
    <row r="97" spans="2:21" ht="16.5" customHeight="1" x14ac:dyDescent="0.25">
      <c r="B97" s="483" t="s">
        <v>44</v>
      </c>
      <c r="C97" s="483"/>
      <c r="D97" s="483"/>
      <c r="E97" s="243">
        <f t="shared" ref="E97:J97" si="16">SUM(E94:E96)</f>
        <v>1352.3685314133334</v>
      </c>
      <c r="F97" s="243">
        <f t="shared" si="16"/>
        <v>1246.20219808</v>
      </c>
      <c r="G97" s="243">
        <f t="shared" si="16"/>
        <v>1411.1025643750866</v>
      </c>
      <c r="H97" s="243">
        <f t="shared" si="16"/>
        <v>1503.8479922133333</v>
      </c>
      <c r="I97" s="243" t="e">
        <f t="shared" si="16"/>
        <v>#VALUE!</v>
      </c>
      <c r="J97" s="243" t="e">
        <f t="shared" si="16"/>
        <v>#VALUE!</v>
      </c>
      <c r="L97" s="242"/>
      <c r="P97" s="214"/>
      <c r="Q97" s="214"/>
      <c r="R97" s="214"/>
      <c r="S97" s="214"/>
      <c r="T97" s="214"/>
      <c r="U97" s="214"/>
    </row>
    <row r="98" spans="2:21" x14ac:dyDescent="0.25">
      <c r="B98" s="89"/>
      <c r="L98" s="242"/>
      <c r="P98" s="214"/>
      <c r="Q98" s="214"/>
      <c r="R98" s="214"/>
      <c r="S98" s="214"/>
      <c r="T98" s="214"/>
    </row>
    <row r="99" spans="2:21" x14ac:dyDescent="0.25">
      <c r="L99" s="242"/>
      <c r="P99" s="214"/>
      <c r="Q99" s="214"/>
      <c r="R99" s="214"/>
      <c r="S99" s="214"/>
      <c r="T99" s="214"/>
    </row>
    <row r="100" spans="2:21" x14ac:dyDescent="0.25">
      <c r="B100" s="490" t="s">
        <v>303</v>
      </c>
      <c r="C100" s="490"/>
      <c r="D100" s="490"/>
      <c r="E100" s="490"/>
      <c r="F100" s="490"/>
      <c r="G100" s="490"/>
      <c r="H100" s="490"/>
      <c r="I100" s="490"/>
      <c r="J100" s="490"/>
      <c r="L100" s="242"/>
      <c r="P100" s="214"/>
      <c r="Q100" s="214"/>
      <c r="R100" s="214"/>
      <c r="S100" s="214"/>
      <c r="T100" s="214"/>
    </row>
    <row r="101" spans="2:21" x14ac:dyDescent="0.25">
      <c r="B101" s="256"/>
      <c r="C101" s="256"/>
      <c r="D101" s="256"/>
      <c r="E101" s="256"/>
      <c r="L101" s="242"/>
      <c r="P101" s="214"/>
      <c r="Q101" s="214"/>
      <c r="R101" s="214"/>
      <c r="S101" s="214"/>
      <c r="T101" s="214"/>
    </row>
    <row r="102" spans="2:21" ht="31.5" x14ac:dyDescent="0.25">
      <c r="B102" s="256"/>
      <c r="C102" s="256"/>
      <c r="D102" s="256"/>
      <c r="E102" s="227" t="s">
        <v>240</v>
      </c>
      <c r="F102" s="227" t="s">
        <v>242</v>
      </c>
      <c r="G102" s="239" t="s">
        <v>243</v>
      </c>
      <c r="H102" s="239" t="s">
        <v>244</v>
      </c>
      <c r="I102" s="239" t="s">
        <v>245</v>
      </c>
      <c r="J102" s="239" t="s">
        <v>246</v>
      </c>
      <c r="L102" s="242"/>
      <c r="P102" s="214"/>
      <c r="Q102" s="214"/>
      <c r="R102" s="214"/>
      <c r="S102" s="214"/>
      <c r="T102" s="214"/>
    </row>
    <row r="103" spans="2:21" ht="16.5" customHeight="1" x14ac:dyDescent="0.25">
      <c r="B103" s="257">
        <v>3</v>
      </c>
      <c r="C103" s="491" t="s">
        <v>304</v>
      </c>
      <c r="D103" s="491"/>
      <c r="E103" s="250" t="s">
        <v>263</v>
      </c>
      <c r="F103" s="250" t="s">
        <v>263</v>
      </c>
      <c r="G103" s="250" t="s">
        <v>263</v>
      </c>
      <c r="H103" s="250" t="s">
        <v>263</v>
      </c>
      <c r="I103" s="250" t="s">
        <v>263</v>
      </c>
      <c r="J103" s="250" t="s">
        <v>263</v>
      </c>
      <c r="L103" s="242"/>
      <c r="P103" s="214"/>
      <c r="Q103" s="214"/>
      <c r="R103" s="214"/>
      <c r="S103" s="214"/>
      <c r="T103" s="214"/>
      <c r="U103" s="214"/>
    </row>
    <row r="104" spans="2:21" ht="16.5" customHeight="1" x14ac:dyDescent="0.25">
      <c r="B104" s="258" t="s">
        <v>227</v>
      </c>
      <c r="C104" s="492" t="s">
        <v>305</v>
      </c>
      <c r="D104" s="492"/>
      <c r="E104" s="251">
        <f t="shared" ref="E104:J104" si="17">(E46/12)*0.05</f>
        <v>5.871666666666667</v>
      </c>
      <c r="F104" s="251">
        <f t="shared" si="17"/>
        <v>5.871666666666667</v>
      </c>
      <c r="G104" s="251">
        <f t="shared" si="17"/>
        <v>7.7307635527777778</v>
      </c>
      <c r="H104" s="251">
        <f t="shared" si="17"/>
        <v>8.1300000000000008</v>
      </c>
      <c r="I104" s="251" t="e">
        <f t="shared" si="17"/>
        <v>#VALUE!</v>
      </c>
      <c r="J104" s="251" t="e">
        <f t="shared" si="17"/>
        <v>#VALUE!</v>
      </c>
      <c r="K104" s="259"/>
      <c r="L104" s="260"/>
      <c r="P104" s="214"/>
      <c r="Q104" s="214"/>
      <c r="R104" s="214"/>
      <c r="S104" s="214"/>
      <c r="T104" s="214"/>
      <c r="U104" s="214"/>
    </row>
    <row r="105" spans="2:21" ht="16.5" customHeight="1" x14ac:dyDescent="0.25">
      <c r="B105" s="258" t="s">
        <v>229</v>
      </c>
      <c r="C105" s="492" t="s">
        <v>306</v>
      </c>
      <c r="D105" s="492"/>
      <c r="E105" s="251">
        <f t="shared" ref="E105:J105" si="18">E104*8%</f>
        <v>0.46973333333333339</v>
      </c>
      <c r="F105" s="251">
        <f t="shared" si="18"/>
        <v>0.46973333333333339</v>
      </c>
      <c r="G105" s="251">
        <f t="shared" si="18"/>
        <v>0.61846108422222223</v>
      </c>
      <c r="H105" s="251">
        <f t="shared" si="18"/>
        <v>0.65040000000000009</v>
      </c>
      <c r="I105" s="251" t="e">
        <f t="shared" si="18"/>
        <v>#VALUE!</v>
      </c>
      <c r="J105" s="251" t="e">
        <f t="shared" si="18"/>
        <v>#VALUE!</v>
      </c>
      <c r="L105" s="242"/>
      <c r="P105" s="214"/>
      <c r="Q105" s="214"/>
      <c r="R105" s="214"/>
      <c r="S105" s="214"/>
      <c r="T105" s="214"/>
      <c r="U105" s="214"/>
    </row>
    <row r="106" spans="2:21" ht="30.75" customHeight="1" x14ac:dyDescent="0.25">
      <c r="B106" s="258" t="s">
        <v>232</v>
      </c>
      <c r="C106" s="492" t="s">
        <v>307</v>
      </c>
      <c r="D106" s="492"/>
      <c r="E106" s="261"/>
      <c r="F106" s="261"/>
      <c r="G106" s="261"/>
      <c r="H106" s="261"/>
      <c r="I106" s="261"/>
      <c r="J106" s="261"/>
      <c r="L106" s="242"/>
      <c r="P106" s="214"/>
      <c r="Q106" s="214"/>
      <c r="R106" s="214"/>
      <c r="S106" s="214"/>
      <c r="T106" s="214"/>
      <c r="U106" s="214"/>
    </row>
    <row r="107" spans="2:21" ht="16.5" customHeight="1" x14ac:dyDescent="0.25">
      <c r="B107" s="258" t="s">
        <v>234</v>
      </c>
      <c r="C107" s="492" t="s">
        <v>308</v>
      </c>
      <c r="D107" s="492"/>
      <c r="E107" s="251">
        <f t="shared" ref="E107:J107" si="19">(((E46/30)/12)*7)*95%</f>
        <v>26.031055555555557</v>
      </c>
      <c r="F107" s="251">
        <f t="shared" si="19"/>
        <v>26.031055555555557</v>
      </c>
      <c r="G107" s="251">
        <f t="shared" si="19"/>
        <v>34.273051750648143</v>
      </c>
      <c r="H107" s="251">
        <f t="shared" si="19"/>
        <v>36.043000000000006</v>
      </c>
      <c r="I107" s="251" t="e">
        <f t="shared" si="19"/>
        <v>#VALUE!</v>
      </c>
      <c r="J107" s="251" t="e">
        <f t="shared" si="19"/>
        <v>#VALUE!</v>
      </c>
      <c r="L107" s="242"/>
      <c r="P107" s="214"/>
      <c r="Q107" s="214"/>
      <c r="R107" s="214"/>
      <c r="S107" s="214"/>
      <c r="T107" s="214"/>
      <c r="U107" s="214"/>
    </row>
    <row r="108" spans="2:21" ht="30.75" customHeight="1" x14ac:dyDescent="0.25">
      <c r="B108" s="258" t="s">
        <v>267</v>
      </c>
      <c r="C108" s="492" t="s">
        <v>309</v>
      </c>
      <c r="D108" s="492"/>
      <c r="E108" s="251">
        <f t="shared" ref="E108:J108" si="20">E107*$D$72</f>
        <v>9.5794284444444457</v>
      </c>
      <c r="F108" s="251">
        <f t="shared" si="20"/>
        <v>9.5794284444444457</v>
      </c>
      <c r="G108" s="251">
        <f t="shared" si="20"/>
        <v>12.612483044238518</v>
      </c>
      <c r="H108" s="251">
        <f t="shared" si="20"/>
        <v>13.263824000000005</v>
      </c>
      <c r="I108" s="251" t="e">
        <f t="shared" si="20"/>
        <v>#VALUE!</v>
      </c>
      <c r="J108" s="251" t="e">
        <f t="shared" si="20"/>
        <v>#VALUE!</v>
      </c>
      <c r="L108" s="242"/>
      <c r="P108" s="214"/>
      <c r="Q108" s="214"/>
      <c r="R108" s="214"/>
      <c r="S108" s="214"/>
      <c r="T108" s="214"/>
      <c r="U108" s="214"/>
    </row>
    <row r="109" spans="2:21" ht="30.75" customHeight="1" x14ac:dyDescent="0.25">
      <c r="B109" s="258" t="s">
        <v>269</v>
      </c>
      <c r="C109" s="492" t="s">
        <v>310</v>
      </c>
      <c r="D109" s="492"/>
      <c r="E109" s="251">
        <f t="shared" ref="E109:J109" si="21">5%*E46</f>
        <v>70.460000000000008</v>
      </c>
      <c r="F109" s="251">
        <f t="shared" si="21"/>
        <v>70.460000000000008</v>
      </c>
      <c r="G109" s="251">
        <f t="shared" si="21"/>
        <v>92.769162633333337</v>
      </c>
      <c r="H109" s="251">
        <f t="shared" si="21"/>
        <v>97.56</v>
      </c>
      <c r="I109" s="251" t="e">
        <f t="shared" si="21"/>
        <v>#VALUE!</v>
      </c>
      <c r="J109" s="251" t="e">
        <f t="shared" si="21"/>
        <v>#VALUE!</v>
      </c>
      <c r="L109" s="262"/>
      <c r="P109" s="214"/>
      <c r="Q109" s="214"/>
      <c r="R109" s="214"/>
      <c r="S109" s="214"/>
      <c r="T109" s="214"/>
      <c r="U109" s="214"/>
    </row>
    <row r="110" spans="2:21" ht="16.5" customHeight="1" x14ac:dyDescent="0.25">
      <c r="B110" s="491" t="s">
        <v>44</v>
      </c>
      <c r="C110" s="491"/>
      <c r="D110" s="491"/>
      <c r="E110" s="263">
        <f t="shared" ref="E110:J110" si="22">SUM(E104:E109)</f>
        <v>112.41188400000001</v>
      </c>
      <c r="F110" s="263">
        <f t="shared" si="22"/>
        <v>112.41188400000001</v>
      </c>
      <c r="G110" s="263">
        <f t="shared" si="22"/>
        <v>148.00392206522</v>
      </c>
      <c r="H110" s="263">
        <f t="shared" si="22"/>
        <v>155.64722400000002</v>
      </c>
      <c r="I110" s="263" t="e">
        <f t="shared" si="22"/>
        <v>#VALUE!</v>
      </c>
      <c r="J110" s="263" t="e">
        <f t="shared" si="22"/>
        <v>#VALUE!</v>
      </c>
      <c r="L110" s="242"/>
      <c r="P110" s="214"/>
      <c r="Q110" s="214"/>
      <c r="R110" s="214"/>
      <c r="S110" s="214"/>
      <c r="T110" s="214"/>
      <c r="U110" s="214"/>
    </row>
    <row r="111" spans="2:21" x14ac:dyDescent="0.25">
      <c r="L111" s="242"/>
      <c r="P111" s="214"/>
      <c r="Q111" s="214"/>
      <c r="R111" s="214"/>
      <c r="S111" s="214"/>
      <c r="T111" s="214"/>
    </row>
    <row r="112" spans="2:21" x14ac:dyDescent="0.25">
      <c r="B112" s="490" t="s">
        <v>311</v>
      </c>
      <c r="C112" s="490"/>
      <c r="D112" s="490"/>
      <c r="E112" s="490"/>
      <c r="F112" s="490"/>
      <c r="G112" s="490"/>
      <c r="H112" s="490"/>
      <c r="I112" s="490"/>
      <c r="J112" s="490"/>
      <c r="K112" s="213"/>
      <c r="L112" s="264" t="s">
        <v>312</v>
      </c>
      <c r="P112" s="214"/>
      <c r="Q112" s="214"/>
      <c r="R112" s="214"/>
      <c r="S112" s="214"/>
      <c r="T112" s="214"/>
    </row>
    <row r="113" spans="2:21" x14ac:dyDescent="0.25">
      <c r="B113" s="256"/>
      <c r="C113" s="256"/>
      <c r="D113" s="256"/>
      <c r="E113" s="256"/>
      <c r="F113" s="264"/>
      <c r="G113" s="264"/>
      <c r="H113" s="264"/>
      <c r="I113" s="264"/>
      <c r="J113" s="264"/>
      <c r="K113" s="264"/>
      <c r="L113" s="242"/>
      <c r="P113" s="214"/>
      <c r="Q113" s="214"/>
      <c r="R113" s="214"/>
      <c r="S113" s="214"/>
      <c r="T113" s="214"/>
    </row>
    <row r="114" spans="2:21" x14ac:dyDescent="0.25">
      <c r="B114" s="493" t="s">
        <v>313</v>
      </c>
      <c r="C114" s="493"/>
      <c r="D114" s="493"/>
      <c r="E114" s="493"/>
      <c r="F114" s="493"/>
      <c r="G114" s="493"/>
      <c r="H114" s="493"/>
      <c r="I114" s="493"/>
      <c r="J114" s="493"/>
      <c r="K114" s="264"/>
      <c r="L114" s="242"/>
      <c r="P114" s="214"/>
      <c r="Q114" s="214"/>
      <c r="R114" s="214"/>
      <c r="S114" s="214"/>
      <c r="T114" s="214"/>
    </row>
    <row r="115" spans="2:21" x14ac:dyDescent="0.25">
      <c r="B115" s="266"/>
      <c r="C115" s="494"/>
      <c r="D115" s="494"/>
      <c r="E115" s="256"/>
      <c r="F115" s="264"/>
      <c r="G115" s="264"/>
      <c r="H115" s="264"/>
      <c r="I115" s="264"/>
      <c r="J115" s="264"/>
      <c r="K115" s="264"/>
      <c r="L115" s="242"/>
      <c r="P115" s="214"/>
      <c r="Q115" s="214"/>
      <c r="R115" s="214"/>
      <c r="S115" s="214"/>
      <c r="T115" s="214"/>
    </row>
    <row r="116" spans="2:21" ht="31.5" x14ac:dyDescent="0.25">
      <c r="B116" s="266"/>
      <c r="C116" s="268"/>
      <c r="D116" s="268"/>
      <c r="E116" s="227" t="s">
        <v>240</v>
      </c>
      <c r="F116" s="227" t="s">
        <v>242</v>
      </c>
      <c r="G116" s="239" t="s">
        <v>243</v>
      </c>
      <c r="H116" s="239" t="s">
        <v>244</v>
      </c>
      <c r="I116" s="239" t="s">
        <v>245</v>
      </c>
      <c r="J116" s="239" t="s">
        <v>246</v>
      </c>
      <c r="K116" s="264"/>
      <c r="L116" s="242"/>
      <c r="P116" s="214"/>
      <c r="Q116" s="214"/>
      <c r="R116" s="214"/>
      <c r="S116" s="214"/>
      <c r="T116" s="214"/>
    </row>
    <row r="117" spans="2:21" ht="16.5" customHeight="1" x14ac:dyDescent="0.25">
      <c r="B117" s="257" t="s">
        <v>314</v>
      </c>
      <c r="C117" s="491" t="s">
        <v>315</v>
      </c>
      <c r="D117" s="491"/>
      <c r="E117" s="250" t="s">
        <v>263</v>
      </c>
      <c r="F117" s="250" t="s">
        <v>263</v>
      </c>
      <c r="G117" s="250" t="s">
        <v>263</v>
      </c>
      <c r="H117" s="250" t="s">
        <v>263</v>
      </c>
      <c r="I117" s="250" t="s">
        <v>263</v>
      </c>
      <c r="J117" s="250" t="s">
        <v>263</v>
      </c>
      <c r="K117" s="264"/>
      <c r="L117" s="242"/>
      <c r="P117" s="214"/>
      <c r="Q117" s="214"/>
      <c r="R117" s="214"/>
      <c r="S117" s="214"/>
      <c r="T117" s="214"/>
      <c r="U117" s="214"/>
    </row>
    <row r="118" spans="2:21" ht="16.5" customHeight="1" x14ac:dyDescent="0.25">
      <c r="B118" s="258" t="s">
        <v>227</v>
      </c>
      <c r="C118" s="495" t="s">
        <v>140</v>
      </c>
      <c r="D118" s="495"/>
      <c r="E118" s="251"/>
      <c r="F118" s="251"/>
      <c r="G118" s="251"/>
      <c r="H118" s="251"/>
      <c r="I118" s="251"/>
      <c r="J118" s="251"/>
      <c r="K118" s="264"/>
      <c r="L118" s="242"/>
      <c r="N118" s="254"/>
      <c r="P118" s="214"/>
      <c r="Q118" s="214"/>
      <c r="R118" s="214"/>
      <c r="S118" s="214"/>
      <c r="T118" s="214"/>
      <c r="U118" s="214"/>
    </row>
    <row r="119" spans="2:21" x14ac:dyDescent="0.25">
      <c r="B119" s="258" t="s">
        <v>229</v>
      </c>
      <c r="C119" s="269" t="s">
        <v>141</v>
      </c>
      <c r="D119" s="270"/>
      <c r="E119" s="251">
        <f t="shared" ref="E119:J119" si="23">(((E46/30)/12)*1)</f>
        <v>3.9144444444444448</v>
      </c>
      <c r="F119" s="251">
        <f t="shared" si="23"/>
        <v>3.9144444444444448</v>
      </c>
      <c r="G119" s="251">
        <f t="shared" si="23"/>
        <v>5.153842368518518</v>
      </c>
      <c r="H119" s="251">
        <f t="shared" si="23"/>
        <v>5.4200000000000008</v>
      </c>
      <c r="I119" s="251" t="e">
        <f t="shared" si="23"/>
        <v>#VALUE!</v>
      </c>
      <c r="J119" s="251" t="e">
        <f t="shared" si="23"/>
        <v>#VALUE!</v>
      </c>
      <c r="K119" s="264"/>
      <c r="L119" s="242"/>
      <c r="P119" s="214"/>
      <c r="Q119" s="214"/>
      <c r="R119" s="214"/>
      <c r="S119" s="214"/>
      <c r="T119" s="214"/>
      <c r="U119" s="214"/>
    </row>
    <row r="120" spans="2:21" x14ac:dyDescent="0.25">
      <c r="B120" s="258" t="s">
        <v>232</v>
      </c>
      <c r="C120" s="269" t="s">
        <v>142</v>
      </c>
      <c r="D120" s="270"/>
      <c r="E120" s="251">
        <f t="shared" ref="E120:J120" si="24">(((E46/30)/12)*15)*0.0922</f>
        <v>5.4136766666666674</v>
      </c>
      <c r="F120" s="251">
        <f t="shared" si="24"/>
        <v>5.4136766666666674</v>
      </c>
      <c r="G120" s="251">
        <f t="shared" si="24"/>
        <v>7.1277639956611099</v>
      </c>
      <c r="H120" s="251">
        <f t="shared" si="24"/>
        <v>7.4958600000000013</v>
      </c>
      <c r="I120" s="251" t="e">
        <f t="shared" si="24"/>
        <v>#VALUE!</v>
      </c>
      <c r="J120" s="251" t="e">
        <f t="shared" si="24"/>
        <v>#VALUE!</v>
      </c>
      <c r="K120" s="264"/>
      <c r="L120" s="242"/>
      <c r="P120" s="214"/>
      <c r="Q120" s="214"/>
      <c r="R120" s="214"/>
      <c r="S120" s="214"/>
      <c r="T120" s="214"/>
      <c r="U120" s="214"/>
    </row>
    <row r="121" spans="2:21" x14ac:dyDescent="0.25">
      <c r="B121" s="258" t="s">
        <v>234</v>
      </c>
      <c r="C121" s="269" t="s">
        <v>143</v>
      </c>
      <c r="D121" s="270"/>
      <c r="E121" s="251">
        <f t="shared" ref="E121:J121" si="25">(((E46/30)/12)*5)</f>
        <v>19.572222222222223</v>
      </c>
      <c r="F121" s="251">
        <f t="shared" si="25"/>
        <v>19.572222222222223</v>
      </c>
      <c r="G121" s="251">
        <f t="shared" si="25"/>
        <v>25.76921184259259</v>
      </c>
      <c r="H121" s="251">
        <f t="shared" si="25"/>
        <v>27.100000000000005</v>
      </c>
      <c r="I121" s="251" t="e">
        <f t="shared" si="25"/>
        <v>#VALUE!</v>
      </c>
      <c r="J121" s="251" t="e">
        <f t="shared" si="25"/>
        <v>#VALUE!</v>
      </c>
      <c r="K121" s="264"/>
      <c r="L121" s="242"/>
      <c r="P121" s="214"/>
      <c r="Q121" s="214"/>
      <c r="R121" s="214"/>
      <c r="S121" s="214"/>
      <c r="T121" s="214"/>
      <c r="U121" s="214"/>
    </row>
    <row r="122" spans="2:21" x14ac:dyDescent="0.25">
      <c r="B122" s="258" t="s">
        <v>269</v>
      </c>
      <c r="C122" s="269" t="s">
        <v>144</v>
      </c>
      <c r="D122" s="270"/>
      <c r="E122" s="251">
        <f t="shared" ref="E122:J122" si="26">(((E46/30)/12)*2)*0.1522</f>
        <v>1.191556888888889</v>
      </c>
      <c r="F122" s="251">
        <f t="shared" si="26"/>
        <v>1.191556888888889</v>
      </c>
      <c r="G122" s="251">
        <f t="shared" si="26"/>
        <v>1.5688296169770368</v>
      </c>
      <c r="H122" s="251">
        <f t="shared" si="26"/>
        <v>1.6498480000000002</v>
      </c>
      <c r="I122" s="251" t="e">
        <f t="shared" si="26"/>
        <v>#VALUE!</v>
      </c>
      <c r="J122" s="251" t="e">
        <f t="shared" si="26"/>
        <v>#VALUE!</v>
      </c>
      <c r="K122" s="264"/>
      <c r="L122" s="242"/>
      <c r="P122" s="214"/>
      <c r="Q122" s="214"/>
      <c r="R122" s="214"/>
      <c r="S122" s="214"/>
      <c r="T122" s="214"/>
      <c r="U122" s="214"/>
    </row>
    <row r="123" spans="2:21" x14ac:dyDescent="0.25">
      <c r="B123" s="258" t="s">
        <v>270</v>
      </c>
      <c r="C123" s="269" t="s">
        <v>145</v>
      </c>
      <c r="D123" s="270"/>
      <c r="E123" s="251">
        <f t="shared" ref="E123:J123" si="27">(((E46/30)/12)*2)*0.0309</f>
        <v>0.24191266666666669</v>
      </c>
      <c r="F123" s="251">
        <f t="shared" si="27"/>
        <v>0.24191266666666669</v>
      </c>
      <c r="G123" s="251">
        <f t="shared" si="27"/>
        <v>0.31850745837444444</v>
      </c>
      <c r="H123" s="251">
        <f t="shared" si="27"/>
        <v>0.33495600000000003</v>
      </c>
      <c r="I123" s="251" t="e">
        <f t="shared" si="27"/>
        <v>#VALUE!</v>
      </c>
      <c r="J123" s="251" t="e">
        <f t="shared" si="27"/>
        <v>#VALUE!</v>
      </c>
      <c r="K123" s="264"/>
      <c r="L123" s="242"/>
      <c r="P123" s="214"/>
      <c r="Q123" s="214"/>
      <c r="R123" s="214"/>
      <c r="S123" s="214"/>
      <c r="T123" s="214"/>
      <c r="U123" s="214"/>
    </row>
    <row r="124" spans="2:21" x14ac:dyDescent="0.25">
      <c r="B124" s="258" t="s">
        <v>287</v>
      </c>
      <c r="C124" s="269" t="s">
        <v>146</v>
      </c>
      <c r="D124" s="270"/>
      <c r="E124" s="251">
        <f t="shared" ref="E124:J124" si="28">(((E46/30)/12)*3)*0.0123</f>
        <v>0.14444300000000002</v>
      </c>
      <c r="F124" s="251">
        <f t="shared" si="28"/>
        <v>0.14444300000000002</v>
      </c>
      <c r="G124" s="251">
        <f t="shared" si="28"/>
        <v>0.19017678339833333</v>
      </c>
      <c r="H124" s="251">
        <f t="shared" si="28"/>
        <v>0.19999800000000001</v>
      </c>
      <c r="I124" s="251" t="e">
        <f t="shared" si="28"/>
        <v>#VALUE!</v>
      </c>
      <c r="J124" s="251" t="e">
        <f t="shared" si="28"/>
        <v>#VALUE!</v>
      </c>
      <c r="K124" s="264"/>
      <c r="L124" s="242"/>
      <c r="P124" s="214"/>
      <c r="Q124" s="214"/>
      <c r="R124" s="214"/>
      <c r="S124" s="214"/>
      <c r="T124" s="214"/>
      <c r="U124" s="214"/>
    </row>
    <row r="125" spans="2:21" x14ac:dyDescent="0.25">
      <c r="B125" s="258" t="s">
        <v>316</v>
      </c>
      <c r="C125" s="269" t="s">
        <v>147</v>
      </c>
      <c r="D125" s="270"/>
      <c r="E125" s="251">
        <f t="shared" ref="E125:J125" si="29">(((E46/30)/12)*1)*0.02</f>
        <v>7.8288888888888894E-2</v>
      </c>
      <c r="F125" s="251">
        <f t="shared" si="29"/>
        <v>7.8288888888888894E-2</v>
      </c>
      <c r="G125" s="251">
        <f t="shared" si="29"/>
        <v>0.10307684737037036</v>
      </c>
      <c r="H125" s="251">
        <f t="shared" si="29"/>
        <v>0.10840000000000002</v>
      </c>
      <c r="I125" s="251" t="e">
        <f t="shared" si="29"/>
        <v>#VALUE!</v>
      </c>
      <c r="J125" s="251" t="e">
        <f t="shared" si="29"/>
        <v>#VALUE!</v>
      </c>
      <c r="K125" s="264"/>
      <c r="L125" s="242"/>
      <c r="P125" s="214"/>
      <c r="Q125" s="214"/>
      <c r="R125" s="214"/>
      <c r="S125" s="214"/>
      <c r="T125" s="214"/>
      <c r="U125" s="214"/>
    </row>
    <row r="126" spans="2:21" x14ac:dyDescent="0.25">
      <c r="B126" s="258" t="s">
        <v>317</v>
      </c>
      <c r="C126" s="269" t="s">
        <v>148</v>
      </c>
      <c r="D126" s="270"/>
      <c r="E126" s="251">
        <f t="shared" ref="E126:J126" si="30">(((E46/30)/12)*1)*0.004</f>
        <v>1.5657777777777781E-2</v>
      </c>
      <c r="F126" s="251">
        <f t="shared" si="30"/>
        <v>1.5657777777777781E-2</v>
      </c>
      <c r="G126" s="251">
        <f t="shared" si="30"/>
        <v>2.0615369474074073E-2</v>
      </c>
      <c r="H126" s="251">
        <f t="shared" si="30"/>
        <v>2.1680000000000005E-2</v>
      </c>
      <c r="I126" s="251" t="e">
        <f t="shared" si="30"/>
        <v>#VALUE!</v>
      </c>
      <c r="J126" s="251" t="e">
        <f t="shared" si="30"/>
        <v>#VALUE!</v>
      </c>
      <c r="K126" s="264"/>
      <c r="L126" s="242"/>
      <c r="P126" s="214"/>
      <c r="Q126" s="214"/>
      <c r="R126" s="214"/>
      <c r="S126" s="214"/>
      <c r="T126" s="214"/>
      <c r="U126" s="214"/>
    </row>
    <row r="127" spans="2:21" x14ac:dyDescent="0.25">
      <c r="B127" s="258" t="s">
        <v>318</v>
      </c>
      <c r="C127" s="269" t="s">
        <v>149</v>
      </c>
      <c r="D127" s="270"/>
      <c r="E127" s="251">
        <f t="shared" ref="E127:J127" si="31">(((E46/30)/12)*20)*0.0321</f>
        <v>2.5130733333333333</v>
      </c>
      <c r="F127" s="251">
        <f t="shared" si="31"/>
        <v>2.5130733333333333</v>
      </c>
      <c r="G127" s="251">
        <f t="shared" si="31"/>
        <v>3.3087668005888884</v>
      </c>
      <c r="H127" s="251">
        <f t="shared" si="31"/>
        <v>3.4796400000000003</v>
      </c>
      <c r="I127" s="251" t="e">
        <f t="shared" si="31"/>
        <v>#VALUE!</v>
      </c>
      <c r="J127" s="251" t="e">
        <f t="shared" si="31"/>
        <v>#VALUE!</v>
      </c>
      <c r="K127" s="264"/>
      <c r="L127" s="242"/>
      <c r="P127" s="214"/>
      <c r="Q127" s="214"/>
      <c r="R127" s="214"/>
      <c r="S127" s="214"/>
      <c r="T127" s="214"/>
      <c r="U127" s="214"/>
    </row>
    <row r="128" spans="2:21" x14ac:dyDescent="0.25">
      <c r="B128" s="258" t="s">
        <v>319</v>
      </c>
      <c r="C128" s="269" t="s">
        <v>150</v>
      </c>
      <c r="D128" s="270"/>
      <c r="E128" s="251">
        <f t="shared" ref="E128:J128" si="32">(((E46/30)/12)*180)*0.0028</f>
        <v>1.97288</v>
      </c>
      <c r="F128" s="251">
        <f t="shared" si="32"/>
        <v>1.97288</v>
      </c>
      <c r="G128" s="251">
        <f t="shared" si="32"/>
        <v>2.5975365537333333</v>
      </c>
      <c r="H128" s="251">
        <f t="shared" si="32"/>
        <v>2.7316800000000003</v>
      </c>
      <c r="I128" s="251" t="e">
        <f t="shared" si="32"/>
        <v>#VALUE!</v>
      </c>
      <c r="J128" s="251" t="e">
        <f t="shared" si="32"/>
        <v>#VALUE!</v>
      </c>
      <c r="K128" s="264"/>
      <c r="L128" s="242"/>
      <c r="P128" s="214"/>
      <c r="Q128" s="214"/>
      <c r="R128" s="214"/>
      <c r="S128" s="214"/>
      <c r="T128" s="214"/>
      <c r="U128" s="214"/>
    </row>
    <row r="129" spans="2:21" x14ac:dyDescent="0.25">
      <c r="B129" s="258" t="s">
        <v>320</v>
      </c>
      <c r="C129" s="269" t="s">
        <v>151</v>
      </c>
      <c r="D129" s="270"/>
      <c r="E129" s="251">
        <f t="shared" ref="E129:J129" si="33">(((E46/30)/12)*6)*0.0002</f>
        <v>4.6973333333333337E-3</v>
      </c>
      <c r="F129" s="251">
        <f t="shared" si="33"/>
        <v>4.6973333333333337E-3</v>
      </c>
      <c r="G129" s="251">
        <f t="shared" si="33"/>
        <v>6.1846108422222218E-3</v>
      </c>
      <c r="H129" s="251">
        <f t="shared" si="33"/>
        <v>6.5040000000000011E-3</v>
      </c>
      <c r="I129" s="251" t="e">
        <f t="shared" si="33"/>
        <v>#VALUE!</v>
      </c>
      <c r="J129" s="251" t="e">
        <f t="shared" si="33"/>
        <v>#VALUE!</v>
      </c>
      <c r="K129" s="264"/>
      <c r="L129" s="242"/>
      <c r="P129" s="214"/>
      <c r="Q129" s="214"/>
      <c r="R129" s="214"/>
      <c r="S129" s="214"/>
      <c r="T129" s="214"/>
      <c r="U129" s="214"/>
    </row>
    <row r="130" spans="2:21" ht="30.75" customHeight="1" x14ac:dyDescent="0.25">
      <c r="B130" s="271" t="s">
        <v>321</v>
      </c>
      <c r="C130" s="496" t="s">
        <v>322</v>
      </c>
      <c r="D130" s="496"/>
      <c r="E130" s="272">
        <f t="shared" ref="E130:J130" si="34">SUM(E118:E129)*$D$72</f>
        <v>12.903129985777779</v>
      </c>
      <c r="F130" s="272">
        <f t="shared" si="34"/>
        <v>12.903129985777779</v>
      </c>
      <c r="G130" s="272">
        <f t="shared" si="34"/>
        <v>16.988540507091379</v>
      </c>
      <c r="H130" s="272">
        <f t="shared" si="34"/>
        <v>17.865872288000006</v>
      </c>
      <c r="I130" s="272" t="e">
        <f t="shared" si="34"/>
        <v>#VALUE!</v>
      </c>
      <c r="J130" s="272" t="e">
        <f t="shared" si="34"/>
        <v>#VALUE!</v>
      </c>
      <c r="K130" s="264"/>
      <c r="L130" s="242"/>
      <c r="P130" s="214"/>
      <c r="Q130" s="214"/>
      <c r="R130" s="214"/>
      <c r="S130" s="214"/>
      <c r="T130" s="214"/>
      <c r="U130" s="214"/>
    </row>
    <row r="131" spans="2:21" ht="16.5" customHeight="1" x14ac:dyDescent="0.25">
      <c r="B131" s="491" t="s">
        <v>288</v>
      </c>
      <c r="C131" s="491"/>
      <c r="D131" s="491"/>
      <c r="E131" s="263">
        <f t="shared" ref="E131:J131" si="35">SUM(E118:E130)</f>
        <v>47.965983208000004</v>
      </c>
      <c r="F131" s="263">
        <f t="shared" si="35"/>
        <v>47.965983208000004</v>
      </c>
      <c r="G131" s="263">
        <f t="shared" si="35"/>
        <v>63.153052754622294</v>
      </c>
      <c r="H131" s="263">
        <f t="shared" si="35"/>
        <v>66.414438288000014</v>
      </c>
      <c r="I131" s="263" t="e">
        <f t="shared" si="35"/>
        <v>#VALUE!</v>
      </c>
      <c r="J131" s="263" t="e">
        <f t="shared" si="35"/>
        <v>#VALUE!</v>
      </c>
      <c r="K131" s="264"/>
      <c r="L131" s="242"/>
      <c r="P131" s="214"/>
      <c r="Q131" s="214"/>
      <c r="R131" s="214"/>
      <c r="S131" s="214"/>
      <c r="T131" s="214"/>
      <c r="U131" s="214"/>
    </row>
    <row r="132" spans="2:21" x14ac:dyDescent="0.25">
      <c r="F132" s="264"/>
      <c r="G132" s="264"/>
      <c r="H132" s="264"/>
      <c r="I132" s="264"/>
      <c r="J132" s="264"/>
      <c r="K132" s="264"/>
      <c r="L132" s="242"/>
      <c r="P132" s="214"/>
      <c r="Q132" s="214"/>
      <c r="R132" s="214"/>
      <c r="S132" s="214"/>
      <c r="T132" s="214"/>
    </row>
    <row r="133" spans="2:21" x14ac:dyDescent="0.25">
      <c r="B133" s="493" t="s">
        <v>323</v>
      </c>
      <c r="C133" s="493"/>
      <c r="D133" s="493"/>
      <c r="E133" s="493"/>
      <c r="F133" s="493"/>
      <c r="G133" s="493"/>
      <c r="H133" s="493"/>
      <c r="I133" s="493"/>
      <c r="J133" s="493"/>
      <c r="L133" s="242"/>
      <c r="P133" s="214"/>
      <c r="Q133" s="214"/>
      <c r="R133" s="214"/>
      <c r="S133" s="214"/>
      <c r="T133" s="214"/>
    </row>
    <row r="134" spans="2:21" x14ac:dyDescent="0.25">
      <c r="B134" s="266"/>
      <c r="C134" s="256"/>
      <c r="D134" s="256"/>
      <c r="E134" s="256"/>
      <c r="L134" s="242"/>
      <c r="P134" s="214"/>
      <c r="Q134" s="214"/>
      <c r="R134" s="214"/>
      <c r="S134" s="214"/>
      <c r="T134" s="214"/>
    </row>
    <row r="135" spans="2:21" ht="31.5" x14ac:dyDescent="0.25">
      <c r="B135" s="266"/>
      <c r="C135" s="256"/>
      <c r="D135" s="256"/>
      <c r="E135" s="227" t="s">
        <v>240</v>
      </c>
      <c r="F135" s="227" t="s">
        <v>242</v>
      </c>
      <c r="G135" s="239" t="s">
        <v>243</v>
      </c>
      <c r="H135" s="239" t="s">
        <v>244</v>
      </c>
      <c r="I135" s="239" t="s">
        <v>245</v>
      </c>
      <c r="J135" s="239" t="s">
        <v>246</v>
      </c>
      <c r="L135" s="242"/>
      <c r="P135" s="214"/>
      <c r="Q135" s="214"/>
      <c r="R135" s="214"/>
      <c r="S135" s="214"/>
      <c r="T135" s="214"/>
    </row>
    <row r="136" spans="2:21" ht="16.5" customHeight="1" x14ac:dyDescent="0.25">
      <c r="B136" s="257" t="s">
        <v>324</v>
      </c>
      <c r="C136" s="491" t="s">
        <v>325</v>
      </c>
      <c r="D136" s="491"/>
      <c r="E136" s="250" t="s">
        <v>263</v>
      </c>
      <c r="F136" s="250" t="s">
        <v>263</v>
      </c>
      <c r="G136" s="250" t="s">
        <v>263</v>
      </c>
      <c r="H136" s="250" t="s">
        <v>263</v>
      </c>
      <c r="I136" s="250" t="s">
        <v>263</v>
      </c>
      <c r="J136" s="250" t="s">
        <v>263</v>
      </c>
      <c r="L136" s="242"/>
      <c r="P136" s="214"/>
      <c r="Q136" s="214"/>
      <c r="R136" s="214"/>
      <c r="S136" s="214"/>
      <c r="T136" s="214"/>
      <c r="U136" s="214"/>
    </row>
    <row r="137" spans="2:21" ht="16.5" customHeight="1" x14ac:dyDescent="0.25">
      <c r="B137" s="258" t="s">
        <v>227</v>
      </c>
      <c r="C137" s="495" t="s">
        <v>326</v>
      </c>
      <c r="D137" s="495"/>
      <c r="E137" s="261"/>
      <c r="F137" s="261"/>
      <c r="G137" s="261"/>
      <c r="H137" s="261"/>
      <c r="I137" s="261"/>
      <c r="J137" s="261"/>
      <c r="L137" s="242"/>
      <c r="P137" s="214"/>
      <c r="Q137" s="214"/>
      <c r="R137" s="214"/>
      <c r="S137" s="214"/>
      <c r="T137" s="214"/>
      <c r="U137" s="214"/>
    </row>
    <row r="138" spans="2:21" ht="16.5" customHeight="1" x14ac:dyDescent="0.25">
      <c r="B138" s="491" t="s">
        <v>44</v>
      </c>
      <c r="C138" s="491"/>
      <c r="D138" s="491"/>
      <c r="E138" s="261">
        <f t="shared" ref="E138:J138" si="36">SUM(E137)</f>
        <v>0</v>
      </c>
      <c r="F138" s="261">
        <f t="shared" si="36"/>
        <v>0</v>
      </c>
      <c r="G138" s="261">
        <f t="shared" si="36"/>
        <v>0</v>
      </c>
      <c r="H138" s="261">
        <f t="shared" si="36"/>
        <v>0</v>
      </c>
      <c r="I138" s="261">
        <f t="shared" si="36"/>
        <v>0</v>
      </c>
      <c r="J138" s="261">
        <f t="shared" si="36"/>
        <v>0</v>
      </c>
      <c r="L138" s="242"/>
      <c r="P138" s="214"/>
      <c r="Q138" s="214"/>
      <c r="R138" s="214"/>
      <c r="S138" s="214"/>
      <c r="T138" s="214"/>
      <c r="U138" s="214"/>
    </row>
    <row r="139" spans="2:21" x14ac:dyDescent="0.25">
      <c r="B139" s="273"/>
      <c r="C139" s="273"/>
      <c r="D139" s="273"/>
      <c r="E139" s="273"/>
      <c r="L139" s="242"/>
      <c r="P139" s="214"/>
      <c r="Q139" s="214"/>
      <c r="R139" s="214"/>
      <c r="S139" s="214"/>
      <c r="T139" s="214"/>
    </row>
    <row r="140" spans="2:21" x14ac:dyDescent="0.25">
      <c r="B140" s="273"/>
      <c r="C140" s="273"/>
      <c r="D140" s="273"/>
      <c r="E140" s="273"/>
      <c r="L140" s="242"/>
      <c r="P140" s="214"/>
      <c r="Q140" s="214"/>
      <c r="R140" s="214"/>
      <c r="S140" s="214"/>
      <c r="T140" s="214"/>
    </row>
    <row r="141" spans="2:21" x14ac:dyDescent="0.25">
      <c r="B141" s="493" t="s">
        <v>327</v>
      </c>
      <c r="C141" s="493"/>
      <c r="D141" s="493"/>
      <c r="E141" s="493"/>
      <c r="F141" s="493"/>
      <c r="G141" s="493"/>
      <c r="H141" s="493"/>
      <c r="I141" s="493"/>
      <c r="J141" s="493"/>
      <c r="L141" s="242"/>
      <c r="P141" s="214"/>
      <c r="Q141" s="214"/>
      <c r="R141" s="214"/>
      <c r="S141" s="214"/>
      <c r="T141" s="214"/>
    </row>
    <row r="142" spans="2:21" x14ac:dyDescent="0.25">
      <c r="B142" s="266"/>
      <c r="C142" s="256"/>
      <c r="D142" s="256"/>
      <c r="E142" s="256"/>
      <c r="L142" s="242"/>
      <c r="P142" s="214"/>
      <c r="Q142" s="214"/>
      <c r="R142" s="214"/>
      <c r="S142" s="214"/>
      <c r="T142" s="214"/>
    </row>
    <row r="143" spans="2:21" ht="31.5" x14ac:dyDescent="0.25">
      <c r="B143" s="266"/>
      <c r="C143" s="256"/>
      <c r="D143" s="256"/>
      <c r="E143" s="227" t="s">
        <v>240</v>
      </c>
      <c r="F143" s="227" t="s">
        <v>242</v>
      </c>
      <c r="G143" s="239" t="s">
        <v>243</v>
      </c>
      <c r="H143" s="239" t="s">
        <v>244</v>
      </c>
      <c r="I143" s="239" t="s">
        <v>245</v>
      </c>
      <c r="J143" s="239" t="s">
        <v>246</v>
      </c>
      <c r="L143" s="242"/>
      <c r="P143" s="214"/>
      <c r="Q143" s="214"/>
      <c r="R143" s="214"/>
      <c r="S143" s="214"/>
      <c r="T143" s="214"/>
    </row>
    <row r="144" spans="2:21" ht="16.5" customHeight="1" x14ac:dyDescent="0.25">
      <c r="B144" s="257">
        <v>4</v>
      </c>
      <c r="C144" s="491" t="s">
        <v>328</v>
      </c>
      <c r="D144" s="491"/>
      <c r="E144" s="250" t="s">
        <v>263</v>
      </c>
      <c r="F144" s="250" t="s">
        <v>263</v>
      </c>
      <c r="G144" s="250" t="s">
        <v>263</v>
      </c>
      <c r="H144" s="250" t="s">
        <v>263</v>
      </c>
      <c r="I144" s="250" t="s">
        <v>263</v>
      </c>
      <c r="J144" s="250" t="s">
        <v>263</v>
      </c>
      <c r="L144" s="242"/>
      <c r="P144" s="214"/>
      <c r="Q144" s="214"/>
      <c r="R144" s="214"/>
      <c r="S144" s="214"/>
      <c r="T144" s="214"/>
      <c r="U144" s="214"/>
    </row>
    <row r="145" spans="2:21" ht="16.5" customHeight="1" x14ac:dyDescent="0.25">
      <c r="B145" s="258" t="s">
        <v>314</v>
      </c>
      <c r="C145" s="495" t="s">
        <v>315</v>
      </c>
      <c r="D145" s="495"/>
      <c r="E145" s="251">
        <f t="shared" ref="E145:J145" si="37">E131</f>
        <v>47.965983208000004</v>
      </c>
      <c r="F145" s="251">
        <f t="shared" si="37"/>
        <v>47.965983208000004</v>
      </c>
      <c r="G145" s="251">
        <f t="shared" si="37"/>
        <v>63.153052754622294</v>
      </c>
      <c r="H145" s="251">
        <f t="shared" si="37"/>
        <v>66.414438288000014</v>
      </c>
      <c r="I145" s="251" t="e">
        <f t="shared" si="37"/>
        <v>#VALUE!</v>
      </c>
      <c r="J145" s="251" t="e">
        <f t="shared" si="37"/>
        <v>#VALUE!</v>
      </c>
      <c r="L145" s="242"/>
      <c r="P145" s="214"/>
      <c r="Q145" s="214"/>
      <c r="R145" s="214"/>
      <c r="S145" s="214"/>
      <c r="T145" s="214"/>
      <c r="U145" s="214"/>
    </row>
    <row r="146" spans="2:21" ht="16.5" customHeight="1" x14ac:dyDescent="0.25">
      <c r="B146" s="258" t="s">
        <v>324</v>
      </c>
      <c r="C146" s="495" t="s">
        <v>325</v>
      </c>
      <c r="D146" s="495"/>
      <c r="E146" s="251">
        <f t="shared" ref="E146:J146" si="38">E138</f>
        <v>0</v>
      </c>
      <c r="F146" s="251">
        <f t="shared" si="38"/>
        <v>0</v>
      </c>
      <c r="G146" s="251">
        <f t="shared" si="38"/>
        <v>0</v>
      </c>
      <c r="H146" s="251">
        <f t="shared" si="38"/>
        <v>0</v>
      </c>
      <c r="I146" s="251">
        <f t="shared" si="38"/>
        <v>0</v>
      </c>
      <c r="J146" s="251">
        <f t="shared" si="38"/>
        <v>0</v>
      </c>
      <c r="L146" s="242"/>
      <c r="P146" s="214"/>
      <c r="Q146" s="214"/>
      <c r="R146" s="214"/>
      <c r="S146" s="214"/>
      <c r="T146" s="214"/>
      <c r="U146" s="214"/>
    </row>
    <row r="147" spans="2:21" ht="16.5" customHeight="1" x14ac:dyDescent="0.25">
      <c r="B147" s="491" t="s">
        <v>44</v>
      </c>
      <c r="C147" s="491"/>
      <c r="D147" s="491"/>
      <c r="E147" s="274">
        <f t="shared" ref="E147:J147" si="39">SUM(E145:E146)</f>
        <v>47.965983208000004</v>
      </c>
      <c r="F147" s="274">
        <f t="shared" si="39"/>
        <v>47.965983208000004</v>
      </c>
      <c r="G147" s="274">
        <f t="shared" si="39"/>
        <v>63.153052754622294</v>
      </c>
      <c r="H147" s="274">
        <f t="shared" si="39"/>
        <v>66.414438288000014</v>
      </c>
      <c r="I147" s="274" t="e">
        <f t="shared" si="39"/>
        <v>#VALUE!</v>
      </c>
      <c r="J147" s="274" t="e">
        <f t="shared" si="39"/>
        <v>#VALUE!</v>
      </c>
      <c r="L147" s="242"/>
      <c r="P147" s="214"/>
      <c r="Q147" s="214"/>
      <c r="R147" s="214"/>
      <c r="S147" s="214"/>
      <c r="T147" s="214"/>
      <c r="U147" s="214"/>
    </row>
    <row r="148" spans="2:21" x14ac:dyDescent="0.25">
      <c r="B148" s="273"/>
      <c r="C148" s="273"/>
      <c r="D148" s="273"/>
      <c r="E148" s="273"/>
      <c r="L148" s="242"/>
      <c r="P148" s="214"/>
      <c r="Q148" s="214"/>
      <c r="R148" s="214"/>
      <c r="S148" s="214"/>
      <c r="T148" s="214"/>
    </row>
    <row r="149" spans="2:21" x14ac:dyDescent="0.25">
      <c r="B149" s="490" t="s">
        <v>329</v>
      </c>
      <c r="C149" s="490"/>
      <c r="D149" s="490"/>
      <c r="E149" s="490"/>
      <c r="F149" s="490"/>
      <c r="G149" s="490"/>
      <c r="H149" s="490"/>
      <c r="I149" s="490"/>
      <c r="J149" s="490"/>
      <c r="K149" s="264"/>
      <c r="L149" s="264" t="s">
        <v>312</v>
      </c>
      <c r="P149" s="214"/>
      <c r="Q149" s="214"/>
      <c r="R149" s="214"/>
      <c r="S149" s="214"/>
      <c r="T149" s="214"/>
    </row>
    <row r="150" spans="2:21" x14ac:dyDescent="0.25">
      <c r="B150" s="256"/>
      <c r="C150" s="256"/>
      <c r="D150" s="256"/>
      <c r="E150" s="256"/>
      <c r="L150" s="242"/>
      <c r="P150" s="214"/>
      <c r="Q150" s="214"/>
      <c r="R150" s="214"/>
      <c r="S150" s="214"/>
      <c r="T150" s="214"/>
    </row>
    <row r="151" spans="2:21" ht="31.5" x14ac:dyDescent="0.25">
      <c r="B151" s="256"/>
      <c r="C151" s="256"/>
      <c r="D151" s="256"/>
      <c r="E151" s="227" t="s">
        <v>240</v>
      </c>
      <c r="F151" s="227" t="s">
        <v>242</v>
      </c>
      <c r="G151" s="239" t="s">
        <v>243</v>
      </c>
      <c r="H151" s="239" t="s">
        <v>244</v>
      </c>
      <c r="I151" s="239" t="s">
        <v>245</v>
      </c>
      <c r="J151" s="239" t="s">
        <v>246</v>
      </c>
      <c r="L151" s="242"/>
      <c r="P151" s="214"/>
      <c r="Q151" s="214"/>
      <c r="R151" s="214"/>
      <c r="S151" s="214"/>
      <c r="T151" s="214"/>
    </row>
    <row r="152" spans="2:21" ht="16.5" customHeight="1" x14ac:dyDescent="0.25">
      <c r="B152" s="257">
        <v>5</v>
      </c>
      <c r="C152" s="491" t="s">
        <v>217</v>
      </c>
      <c r="D152" s="491"/>
      <c r="E152" s="250" t="s">
        <v>263</v>
      </c>
      <c r="F152" s="250" t="s">
        <v>263</v>
      </c>
      <c r="G152" s="250" t="s">
        <v>263</v>
      </c>
      <c r="H152" s="250" t="s">
        <v>263</v>
      </c>
      <c r="I152" s="250" t="s">
        <v>263</v>
      </c>
      <c r="J152" s="250" t="s">
        <v>263</v>
      </c>
      <c r="L152" s="242"/>
      <c r="P152" s="214"/>
      <c r="Q152" s="214"/>
      <c r="R152" s="214"/>
      <c r="S152" s="214"/>
      <c r="T152" s="214"/>
      <c r="U152" s="214"/>
    </row>
    <row r="153" spans="2:21" ht="16.5" customHeight="1" x14ac:dyDescent="0.25">
      <c r="B153" s="258" t="s">
        <v>227</v>
      </c>
      <c r="C153" s="495" t="s">
        <v>330</v>
      </c>
      <c r="D153" s="495"/>
      <c r="E153" s="251">
        <f>(E46+E97+E110+E147)*5.12%</f>
        <v>149.6036556094123</v>
      </c>
      <c r="F153" s="251">
        <f>(F46+F97+F110+F147)*3.05%</f>
        <v>85.881291991284002</v>
      </c>
      <c r="G153" s="251">
        <f>(G46+G97+G110+G147)*3.05%</f>
        <v>106.06810515177865</v>
      </c>
      <c r="H153" s="251">
        <f>(H46+H97+H110+H147)*5.12%</f>
        <v>188.26801431046829</v>
      </c>
      <c r="I153" s="251" t="e">
        <f>(I46+I97+I110+I147)*3.05%</f>
        <v>#VALUE!</v>
      </c>
      <c r="J153" s="251" t="e">
        <f>(J46+J97+J110+J147)*3.05%</f>
        <v>#VALUE!</v>
      </c>
      <c r="L153" s="242"/>
      <c r="P153" s="214"/>
      <c r="Q153" s="214"/>
      <c r="R153" s="214"/>
      <c r="S153" s="214"/>
      <c r="T153" s="214"/>
      <c r="U153" s="214"/>
    </row>
    <row r="154" spans="2:21" ht="16.5" customHeight="1" x14ac:dyDescent="0.25">
      <c r="B154" s="491" t="s">
        <v>288</v>
      </c>
      <c r="C154" s="491"/>
      <c r="D154" s="491"/>
      <c r="E154" s="274">
        <f t="shared" ref="E154:J154" si="40">SUM(E153:E153)</f>
        <v>149.6036556094123</v>
      </c>
      <c r="F154" s="274">
        <f t="shared" si="40"/>
        <v>85.881291991284002</v>
      </c>
      <c r="G154" s="274">
        <f t="shared" si="40"/>
        <v>106.06810515177865</v>
      </c>
      <c r="H154" s="274">
        <f t="shared" si="40"/>
        <v>188.26801431046829</v>
      </c>
      <c r="I154" s="274" t="e">
        <f t="shared" si="40"/>
        <v>#VALUE!</v>
      </c>
      <c r="J154" s="274" t="e">
        <f t="shared" si="40"/>
        <v>#VALUE!</v>
      </c>
      <c r="L154" s="242"/>
      <c r="P154" s="214"/>
      <c r="Q154" s="214"/>
      <c r="R154" s="214"/>
      <c r="S154" s="214"/>
      <c r="T154" s="214"/>
      <c r="U154" s="214"/>
    </row>
    <row r="155" spans="2:21" x14ac:dyDescent="0.25">
      <c r="L155" s="242"/>
      <c r="P155" s="214"/>
      <c r="Q155" s="214"/>
      <c r="R155" s="214"/>
      <c r="S155" s="214"/>
      <c r="T155" s="214"/>
    </row>
    <row r="156" spans="2:21" x14ac:dyDescent="0.25">
      <c r="B156" s="490" t="s">
        <v>331</v>
      </c>
      <c r="C156" s="490"/>
      <c r="D156" s="490"/>
      <c r="E156" s="490"/>
      <c r="F156" s="490"/>
      <c r="G156" s="490"/>
      <c r="H156" s="490"/>
      <c r="I156" s="490"/>
      <c r="J156" s="490"/>
      <c r="L156" s="242"/>
      <c r="P156" s="214"/>
      <c r="Q156" s="214"/>
      <c r="R156" s="214"/>
      <c r="S156" s="214"/>
      <c r="T156" s="214"/>
    </row>
    <row r="157" spans="2:21" x14ac:dyDescent="0.25">
      <c r="B157" s="256"/>
      <c r="C157" s="256"/>
      <c r="D157" s="256"/>
      <c r="E157" s="256"/>
      <c r="L157" s="242"/>
      <c r="P157" s="214"/>
      <c r="Q157" s="214"/>
      <c r="R157" s="214"/>
      <c r="S157" s="214"/>
      <c r="T157" s="214"/>
    </row>
    <row r="158" spans="2:21" ht="31.5" x14ac:dyDescent="0.25">
      <c r="B158" s="256"/>
      <c r="C158" s="256"/>
      <c r="D158" s="256"/>
      <c r="E158" s="227" t="s">
        <v>240</v>
      </c>
      <c r="F158" s="227" t="s">
        <v>242</v>
      </c>
      <c r="G158" s="239" t="s">
        <v>243</v>
      </c>
      <c r="H158" s="239" t="s">
        <v>244</v>
      </c>
      <c r="I158" s="239" t="s">
        <v>245</v>
      </c>
      <c r="J158" s="239" t="s">
        <v>246</v>
      </c>
      <c r="L158" s="242"/>
      <c r="P158" s="214"/>
      <c r="Q158" s="214"/>
      <c r="R158" s="214"/>
      <c r="S158" s="214"/>
      <c r="T158" s="214"/>
    </row>
    <row r="159" spans="2:21" x14ac:dyDescent="0.25">
      <c r="B159" s="257">
        <v>6</v>
      </c>
      <c r="C159" s="275" t="s">
        <v>218</v>
      </c>
      <c r="D159" s="250" t="s">
        <v>281</v>
      </c>
      <c r="E159" s="250" t="s">
        <v>263</v>
      </c>
      <c r="F159" s="250" t="s">
        <v>263</v>
      </c>
      <c r="G159" s="250" t="s">
        <v>263</v>
      </c>
      <c r="H159" s="250" t="s">
        <v>263</v>
      </c>
      <c r="I159" s="250" t="s">
        <v>263</v>
      </c>
      <c r="J159" s="250" t="s">
        <v>263</v>
      </c>
      <c r="L159" s="242"/>
      <c r="P159" s="214"/>
      <c r="Q159" s="214"/>
      <c r="R159" s="214"/>
      <c r="S159" s="214"/>
      <c r="T159" s="214"/>
    </row>
    <row r="160" spans="2:21" x14ac:dyDescent="0.25">
      <c r="B160" s="258" t="s">
        <v>227</v>
      </c>
      <c r="C160" s="276" t="s">
        <v>200</v>
      </c>
      <c r="D160" s="277">
        <v>0.06</v>
      </c>
      <c r="E160" s="251">
        <f t="shared" ref="E160:J160" si="41">(E154+E147+E110+E97+E46)*$D$160</f>
        <v>184.29300325384472</v>
      </c>
      <c r="F160" s="251">
        <f t="shared" si="41"/>
        <v>174.09968143675704</v>
      </c>
      <c r="G160" s="251">
        <f t="shared" si="41"/>
        <v>215.02265382080245</v>
      </c>
      <c r="H160" s="251">
        <f t="shared" si="41"/>
        <v>231.92266012870809</v>
      </c>
      <c r="I160" s="251" t="e">
        <f t="shared" si="41"/>
        <v>#VALUE!</v>
      </c>
      <c r="J160" s="251" t="e">
        <f t="shared" si="41"/>
        <v>#VALUE!</v>
      </c>
      <c r="L160" s="278" t="s">
        <v>312</v>
      </c>
      <c r="P160" s="214"/>
      <c r="Q160" s="214"/>
      <c r="R160" s="214"/>
      <c r="S160" s="214"/>
      <c r="T160" s="214"/>
    </row>
    <row r="161" spans="2:21" x14ac:dyDescent="0.25">
      <c r="B161" s="258" t="s">
        <v>229</v>
      </c>
      <c r="C161" s="276" t="s">
        <v>202</v>
      </c>
      <c r="D161" s="277">
        <v>6.7900000000000002E-2</v>
      </c>
      <c r="E161" s="251">
        <f t="shared" ref="E161:J161" si="42">(E154+E147+E110+E97+E46+E160)*$D$161</f>
        <v>221.07174360320369</v>
      </c>
      <c r="F161" s="251">
        <f t="shared" si="42"/>
        <v>208.8441745288192</v>
      </c>
      <c r="G161" s="251">
        <f t="shared" si="42"/>
        <v>257.93400810164059</v>
      </c>
      <c r="H161" s="251">
        <f t="shared" si="42"/>
        <v>278.20669233506061</v>
      </c>
      <c r="I161" s="251" t="e">
        <f t="shared" si="42"/>
        <v>#VALUE!</v>
      </c>
      <c r="J161" s="251" t="e">
        <f t="shared" si="42"/>
        <v>#VALUE!</v>
      </c>
      <c r="L161" s="278" t="s">
        <v>312</v>
      </c>
      <c r="P161" s="214"/>
      <c r="Q161" s="214"/>
      <c r="R161" s="214"/>
      <c r="S161" s="214"/>
      <c r="T161" s="214"/>
    </row>
    <row r="162" spans="2:21" x14ac:dyDescent="0.25">
      <c r="B162" s="258" t="s">
        <v>232</v>
      </c>
      <c r="C162" s="276" t="s">
        <v>201</v>
      </c>
      <c r="D162" s="277"/>
      <c r="E162" s="261"/>
      <c r="F162" s="261"/>
      <c r="G162" s="261"/>
      <c r="H162" s="261"/>
      <c r="I162" s="261"/>
      <c r="J162" s="261"/>
      <c r="L162" s="242"/>
      <c r="P162" s="214"/>
      <c r="Q162" s="214"/>
      <c r="R162" s="214"/>
      <c r="S162" s="214"/>
      <c r="T162" s="214"/>
    </row>
    <row r="163" spans="2:21" ht="30" x14ac:dyDescent="0.25">
      <c r="B163" s="258"/>
      <c r="C163" s="276" t="s">
        <v>332</v>
      </c>
      <c r="D163" s="279">
        <f>1-(D164+D165+D166+D167)</f>
        <v>0.85749999999999993</v>
      </c>
      <c r="E163" s="280">
        <f t="shared" ref="E163:J163" si="43">(E154+E147+E110+E97+E46+E160+E161)/$D$163</f>
        <v>4054.7111382948037</v>
      </c>
      <c r="F163" s="280">
        <f t="shared" si="43"/>
        <v>3830.4433973700998</v>
      </c>
      <c r="G163" s="280">
        <f t="shared" si="43"/>
        <v>4730.8076489047435</v>
      </c>
      <c r="H163" s="280">
        <f t="shared" si="43"/>
        <v>5102.6320947820059</v>
      </c>
      <c r="I163" s="280" t="e">
        <f t="shared" si="43"/>
        <v>#VALUE!</v>
      </c>
      <c r="J163" s="280" t="e">
        <f t="shared" si="43"/>
        <v>#VALUE!</v>
      </c>
      <c r="L163" s="242"/>
      <c r="P163" s="214"/>
      <c r="Q163" s="214"/>
      <c r="R163" s="214"/>
      <c r="S163" s="214"/>
      <c r="T163" s="214"/>
    </row>
    <row r="164" spans="2:21" x14ac:dyDescent="0.25">
      <c r="B164" s="258"/>
      <c r="C164" s="276" t="s">
        <v>333</v>
      </c>
      <c r="D164" s="277">
        <v>1.6500000000000001E-2</v>
      </c>
      <c r="E164" s="251">
        <f t="shared" ref="E164:J164" si="44">E163*$D$164</f>
        <v>66.902733781864271</v>
      </c>
      <c r="F164" s="251">
        <f t="shared" si="44"/>
        <v>63.202316056606648</v>
      </c>
      <c r="G164" s="251">
        <f t="shared" si="44"/>
        <v>78.058326206928271</v>
      </c>
      <c r="H164" s="251">
        <f t="shared" si="44"/>
        <v>84.193429563903095</v>
      </c>
      <c r="I164" s="251" t="e">
        <f t="shared" si="44"/>
        <v>#VALUE!</v>
      </c>
      <c r="J164" s="251" t="e">
        <f t="shared" si="44"/>
        <v>#VALUE!</v>
      </c>
      <c r="L164" s="242"/>
      <c r="P164" s="214"/>
      <c r="Q164" s="214"/>
      <c r="R164" s="214"/>
      <c r="S164" s="214"/>
      <c r="T164" s="214"/>
    </row>
    <row r="165" spans="2:21" x14ac:dyDescent="0.25">
      <c r="B165" s="258"/>
      <c r="C165" s="276" t="s">
        <v>334</v>
      </c>
      <c r="D165" s="277">
        <v>7.5999999999999998E-2</v>
      </c>
      <c r="E165" s="251">
        <f t="shared" ref="E165:J165" si="45">E163*$D$165</f>
        <v>308.15804651040509</v>
      </c>
      <c r="F165" s="251">
        <f t="shared" si="45"/>
        <v>291.1136982001276</v>
      </c>
      <c r="G165" s="251">
        <f t="shared" si="45"/>
        <v>359.54138131676052</v>
      </c>
      <c r="H165" s="251">
        <f t="shared" si="45"/>
        <v>387.80003920343245</v>
      </c>
      <c r="I165" s="251" t="e">
        <f t="shared" si="45"/>
        <v>#VALUE!</v>
      </c>
      <c r="J165" s="251" t="e">
        <f t="shared" si="45"/>
        <v>#VALUE!</v>
      </c>
      <c r="L165" s="242"/>
      <c r="P165" s="214"/>
      <c r="Q165" s="214"/>
      <c r="R165" s="214"/>
      <c r="S165" s="214"/>
      <c r="T165" s="214"/>
    </row>
    <row r="166" spans="2:21" x14ac:dyDescent="0.25">
      <c r="B166" s="258"/>
      <c r="C166" s="276" t="s">
        <v>335</v>
      </c>
      <c r="D166" s="277"/>
      <c r="E166" s="251">
        <f t="shared" ref="E166:J166" si="46">E163*$D$166</f>
        <v>0</v>
      </c>
      <c r="F166" s="251">
        <f t="shared" si="46"/>
        <v>0</v>
      </c>
      <c r="G166" s="251">
        <f t="shared" si="46"/>
        <v>0</v>
      </c>
      <c r="H166" s="251">
        <f t="shared" si="46"/>
        <v>0</v>
      </c>
      <c r="I166" s="251" t="e">
        <f t="shared" si="46"/>
        <v>#VALUE!</v>
      </c>
      <c r="J166" s="251" t="e">
        <f t="shared" si="46"/>
        <v>#VALUE!</v>
      </c>
      <c r="L166" s="242"/>
      <c r="P166" s="214"/>
      <c r="Q166" s="214"/>
      <c r="R166" s="214"/>
      <c r="S166" s="214"/>
      <c r="T166" s="214"/>
    </row>
    <row r="167" spans="2:21" x14ac:dyDescent="0.25">
      <c r="B167" s="258"/>
      <c r="C167" s="276" t="s">
        <v>336</v>
      </c>
      <c r="D167" s="277">
        <v>0.05</v>
      </c>
      <c r="E167" s="251">
        <f t="shared" ref="E167:J167" si="47">E163*$D$167</f>
        <v>202.73555691474019</v>
      </c>
      <c r="F167" s="251">
        <f t="shared" si="47"/>
        <v>191.52216986850499</v>
      </c>
      <c r="G167" s="251">
        <f t="shared" si="47"/>
        <v>236.54038244523719</v>
      </c>
      <c r="H167" s="251">
        <f t="shared" si="47"/>
        <v>255.13160473910031</v>
      </c>
      <c r="I167" s="251" t="e">
        <f t="shared" si="47"/>
        <v>#VALUE!</v>
      </c>
      <c r="J167" s="251" t="e">
        <f t="shared" si="47"/>
        <v>#VALUE!</v>
      </c>
      <c r="L167" s="242"/>
      <c r="P167" s="214"/>
      <c r="Q167" s="214"/>
      <c r="R167" s="214"/>
      <c r="S167" s="214"/>
      <c r="T167" s="214"/>
    </row>
    <row r="168" spans="2:21" ht="16.5" customHeight="1" x14ac:dyDescent="0.25">
      <c r="B168" s="491" t="s">
        <v>288</v>
      </c>
      <c r="C168" s="491"/>
      <c r="D168" s="281">
        <f>SUM(D164:D167)</f>
        <v>0.14250000000000002</v>
      </c>
      <c r="E168" s="274">
        <f t="shared" ref="E168:J168" si="48">SUM(E164:E167)+SUM(E160:E161)</f>
        <v>983.16108406405795</v>
      </c>
      <c r="F168" s="274">
        <f t="shared" si="48"/>
        <v>928.78204009081537</v>
      </c>
      <c r="G168" s="274">
        <f t="shared" si="48"/>
        <v>1147.096751891369</v>
      </c>
      <c r="H168" s="274">
        <f t="shared" si="48"/>
        <v>1237.2544259702045</v>
      </c>
      <c r="I168" s="274" t="e">
        <f t="shared" si="48"/>
        <v>#VALUE!</v>
      </c>
      <c r="J168" s="274" t="e">
        <f t="shared" si="48"/>
        <v>#VALUE!</v>
      </c>
      <c r="L168" s="242"/>
      <c r="P168" s="214"/>
      <c r="Q168" s="214"/>
      <c r="R168" s="214"/>
      <c r="S168" s="214"/>
      <c r="T168" s="214"/>
    </row>
    <row r="169" spans="2:21" x14ac:dyDescent="0.25">
      <c r="L169" s="242"/>
      <c r="P169" s="214"/>
      <c r="Q169" s="214"/>
      <c r="R169" s="214"/>
      <c r="S169" s="214"/>
      <c r="T169" s="214"/>
    </row>
    <row r="170" spans="2:21" ht="24" customHeight="1" x14ac:dyDescent="0.25">
      <c r="B170" s="484" t="s">
        <v>337</v>
      </c>
      <c r="C170" s="484"/>
      <c r="D170" s="484"/>
      <c r="E170" s="484"/>
      <c r="F170" s="484"/>
      <c r="G170" s="484"/>
      <c r="H170" s="484"/>
      <c r="I170" s="484"/>
      <c r="J170" s="484"/>
      <c r="L170" s="242"/>
      <c r="P170" s="214"/>
      <c r="Q170" s="214"/>
      <c r="R170" s="214"/>
      <c r="S170" s="214"/>
      <c r="T170" s="214"/>
    </row>
    <row r="171" spans="2:21" x14ac:dyDescent="0.25">
      <c r="L171" s="242"/>
      <c r="P171" s="214"/>
      <c r="Q171" s="214"/>
      <c r="R171" s="214"/>
      <c r="S171" s="214"/>
      <c r="T171" s="214"/>
    </row>
    <row r="172" spans="2:21" ht="31.5" x14ac:dyDescent="0.25">
      <c r="E172" s="227" t="s">
        <v>240</v>
      </c>
      <c r="F172" s="227" t="s">
        <v>242</v>
      </c>
      <c r="G172" s="239" t="s">
        <v>243</v>
      </c>
      <c r="H172" s="239" t="s">
        <v>244</v>
      </c>
      <c r="I172" s="239" t="s">
        <v>245</v>
      </c>
      <c r="J172" s="239" t="s">
        <v>246</v>
      </c>
      <c r="L172" s="242"/>
      <c r="P172" s="214"/>
      <c r="Q172" s="214"/>
      <c r="R172" s="214"/>
      <c r="S172" s="214"/>
      <c r="T172" s="214"/>
    </row>
    <row r="173" spans="2:21" ht="32.25" customHeight="1" x14ac:dyDescent="0.25">
      <c r="B173" s="227"/>
      <c r="C173" s="483" t="s">
        <v>338</v>
      </c>
      <c r="D173" s="483"/>
      <c r="E173" s="221" t="s">
        <v>263</v>
      </c>
      <c r="F173" s="221" t="s">
        <v>263</v>
      </c>
      <c r="G173" s="221" t="s">
        <v>263</v>
      </c>
      <c r="H173" s="221" t="s">
        <v>263</v>
      </c>
      <c r="I173" s="221" t="s">
        <v>263</v>
      </c>
      <c r="J173" s="221" t="s">
        <v>263</v>
      </c>
      <c r="L173" s="242"/>
      <c r="P173" s="214"/>
      <c r="Q173" s="214"/>
      <c r="R173" s="214"/>
      <c r="S173" s="214"/>
      <c r="T173" s="214"/>
      <c r="U173" s="214"/>
    </row>
    <row r="174" spans="2:21" ht="16.5" customHeight="1" x14ac:dyDescent="0.25">
      <c r="B174" s="282" t="s">
        <v>227</v>
      </c>
      <c r="C174" s="486" t="s">
        <v>261</v>
      </c>
      <c r="D174" s="486"/>
      <c r="E174" s="224">
        <f t="shared" ref="E174:J174" si="49">E46</f>
        <v>1409.2</v>
      </c>
      <c r="F174" s="224">
        <f t="shared" si="49"/>
        <v>1409.2</v>
      </c>
      <c r="G174" s="224">
        <f t="shared" si="49"/>
        <v>1855.3832526666665</v>
      </c>
      <c r="H174" s="224">
        <f t="shared" si="49"/>
        <v>1951.2</v>
      </c>
      <c r="I174" s="224" t="e">
        <f t="shared" si="49"/>
        <v>#VALUE!</v>
      </c>
      <c r="J174" s="224" t="e">
        <f t="shared" si="49"/>
        <v>#VALUE!</v>
      </c>
      <c r="L174" s="242"/>
      <c r="M174" s="283">
        <f t="shared" ref="M174:M181" si="50">E174/$E$181</f>
        <v>0.34754633608564156</v>
      </c>
      <c r="N174" s="283">
        <f t="shared" ref="N174:N181" si="51">F174/$F$181</f>
        <v>0.3678947458060669</v>
      </c>
      <c r="O174" s="283">
        <f t="shared" ref="O174:O181" si="52">G174/$G$181</f>
        <v>0.39219164894523179</v>
      </c>
      <c r="P174" s="214" t="s">
        <v>339</v>
      </c>
      <c r="Q174" s="214"/>
      <c r="R174" s="214"/>
      <c r="S174" s="214"/>
      <c r="T174" s="214"/>
      <c r="U174" s="214"/>
    </row>
    <row r="175" spans="2:21" ht="16.5" customHeight="1" x14ac:dyDescent="0.25">
      <c r="B175" s="282" t="s">
        <v>229</v>
      </c>
      <c r="C175" s="486" t="s">
        <v>272</v>
      </c>
      <c r="D175" s="486"/>
      <c r="E175" s="224">
        <f t="shared" ref="E175:J175" si="53">E97</f>
        <v>1352.3685314133334</v>
      </c>
      <c r="F175" s="224">
        <f t="shared" si="53"/>
        <v>1246.20219808</v>
      </c>
      <c r="G175" s="224">
        <f t="shared" si="53"/>
        <v>1411.1025643750866</v>
      </c>
      <c r="H175" s="224">
        <f t="shared" si="53"/>
        <v>1503.8479922133333</v>
      </c>
      <c r="I175" s="224" t="e">
        <f t="shared" si="53"/>
        <v>#VALUE!</v>
      </c>
      <c r="J175" s="224" t="e">
        <f t="shared" si="53"/>
        <v>#VALUE!</v>
      </c>
      <c r="L175" s="242"/>
      <c r="M175" s="283">
        <f t="shared" si="50"/>
        <v>0.33353017891727493</v>
      </c>
      <c r="N175" s="283">
        <f t="shared" si="51"/>
        <v>0.32534149935112366</v>
      </c>
      <c r="O175" s="283">
        <f t="shared" si="52"/>
        <v>0.29827942057669138</v>
      </c>
      <c r="P175" s="214" t="s">
        <v>340</v>
      </c>
      <c r="Q175" s="214"/>
      <c r="R175" s="214"/>
      <c r="S175" s="214"/>
      <c r="T175" s="214"/>
      <c r="U175" s="214"/>
    </row>
    <row r="176" spans="2:21" ht="16.5" customHeight="1" x14ac:dyDescent="0.25">
      <c r="B176" s="282" t="s">
        <v>232</v>
      </c>
      <c r="C176" s="486" t="s">
        <v>303</v>
      </c>
      <c r="D176" s="486"/>
      <c r="E176" s="224">
        <f t="shared" ref="E176:J176" si="54">E110</f>
        <v>112.41188400000001</v>
      </c>
      <c r="F176" s="224">
        <f t="shared" si="54"/>
        <v>112.41188400000001</v>
      </c>
      <c r="G176" s="224">
        <f t="shared" si="54"/>
        <v>148.00392206522</v>
      </c>
      <c r="H176" s="224">
        <f t="shared" si="54"/>
        <v>155.64722400000002</v>
      </c>
      <c r="I176" s="224" t="e">
        <f t="shared" si="54"/>
        <v>#VALUE!</v>
      </c>
      <c r="J176" s="224" t="e">
        <f t="shared" si="54"/>
        <v>#VALUE!</v>
      </c>
      <c r="L176" s="242"/>
      <c r="M176" s="283">
        <f t="shared" si="50"/>
        <v>2.7723771229551629E-2</v>
      </c>
      <c r="N176" s="283">
        <f t="shared" si="51"/>
        <v>2.9346963872949959E-2</v>
      </c>
      <c r="O176" s="283">
        <f t="shared" si="52"/>
        <v>3.1285127836361143E-2</v>
      </c>
      <c r="P176" s="214" t="s">
        <v>341</v>
      </c>
      <c r="Q176" s="214"/>
      <c r="R176" s="214"/>
      <c r="S176" s="214"/>
      <c r="T176" s="214"/>
      <c r="U176" s="214"/>
    </row>
    <row r="177" spans="2:21" ht="16.5" customHeight="1" x14ac:dyDescent="0.25">
      <c r="B177" s="282" t="s">
        <v>234</v>
      </c>
      <c r="C177" s="486" t="s">
        <v>311</v>
      </c>
      <c r="D177" s="486"/>
      <c r="E177" s="224">
        <f t="shared" ref="E177:J177" si="55">E147</f>
        <v>47.965983208000004</v>
      </c>
      <c r="F177" s="224">
        <f t="shared" si="55"/>
        <v>47.965983208000004</v>
      </c>
      <c r="G177" s="224">
        <f t="shared" si="55"/>
        <v>63.153052754622294</v>
      </c>
      <c r="H177" s="224">
        <f t="shared" si="55"/>
        <v>66.414438288000014</v>
      </c>
      <c r="I177" s="224" t="e">
        <f t="shared" si="55"/>
        <v>#VALUE!</v>
      </c>
      <c r="J177" s="224" t="e">
        <f t="shared" si="55"/>
        <v>#VALUE!</v>
      </c>
      <c r="L177" s="242"/>
      <c r="M177" s="283">
        <f t="shared" si="50"/>
        <v>1.1829691825635685E-2</v>
      </c>
      <c r="N177" s="283">
        <f t="shared" si="51"/>
        <v>1.2522305705112997E-2</v>
      </c>
      <c r="O177" s="283">
        <f t="shared" si="52"/>
        <v>1.3349317376969072E-2</v>
      </c>
      <c r="P177" s="214" t="s">
        <v>342</v>
      </c>
      <c r="Q177" s="214"/>
      <c r="R177" s="214"/>
      <c r="S177" s="214"/>
      <c r="T177" s="214"/>
      <c r="U177" s="214"/>
    </row>
    <row r="178" spans="2:21" ht="16.5" customHeight="1" x14ac:dyDescent="0.25">
      <c r="B178" s="282" t="s">
        <v>267</v>
      </c>
      <c r="C178" s="486" t="s">
        <v>329</v>
      </c>
      <c r="D178" s="486"/>
      <c r="E178" s="224">
        <f t="shared" ref="E178:J178" si="56">E154</f>
        <v>149.6036556094123</v>
      </c>
      <c r="F178" s="224">
        <f t="shared" si="56"/>
        <v>85.881291991284002</v>
      </c>
      <c r="G178" s="224">
        <f t="shared" si="56"/>
        <v>106.06810515177865</v>
      </c>
      <c r="H178" s="224">
        <f t="shared" si="56"/>
        <v>188.26801431046829</v>
      </c>
      <c r="I178" s="224" t="e">
        <f t="shared" si="56"/>
        <v>#VALUE!</v>
      </c>
      <c r="J178" s="224" t="e">
        <f t="shared" si="56"/>
        <v>#VALUE!</v>
      </c>
      <c r="L178" s="242"/>
      <c r="M178" s="283">
        <f t="shared" si="50"/>
        <v>3.689625487657492E-2</v>
      </c>
      <c r="N178" s="283">
        <f t="shared" si="51"/>
        <v>2.2420718199425232E-2</v>
      </c>
      <c r="O178" s="283">
        <f t="shared" si="52"/>
        <v>2.2420718199425226E-2</v>
      </c>
      <c r="P178" s="214" t="s">
        <v>343</v>
      </c>
      <c r="Q178" s="214"/>
      <c r="R178" s="214"/>
      <c r="S178" s="214"/>
      <c r="T178" s="214"/>
      <c r="U178" s="214"/>
    </row>
    <row r="179" spans="2:21" ht="16.5" customHeight="1" x14ac:dyDescent="0.25">
      <c r="B179" s="483" t="s">
        <v>344</v>
      </c>
      <c r="C179" s="483"/>
      <c r="D179" s="483"/>
      <c r="E179" s="284">
        <f t="shared" ref="E179:J179" si="57">SUM(E174:E178)</f>
        <v>3071.5500542307459</v>
      </c>
      <c r="F179" s="284">
        <f t="shared" si="57"/>
        <v>2901.6613572792839</v>
      </c>
      <c r="G179" s="284">
        <f t="shared" si="57"/>
        <v>3583.7108970133741</v>
      </c>
      <c r="H179" s="284">
        <f t="shared" si="57"/>
        <v>3865.3776688118014</v>
      </c>
      <c r="I179" s="284" t="e">
        <f t="shared" si="57"/>
        <v>#VALUE!</v>
      </c>
      <c r="J179" s="284" t="e">
        <f t="shared" si="57"/>
        <v>#VALUE!</v>
      </c>
      <c r="L179" s="242"/>
      <c r="M179" s="285">
        <f t="shared" si="50"/>
        <v>0.7575262329346788</v>
      </c>
      <c r="N179" s="285">
        <f t="shared" si="51"/>
        <v>0.75752623293467869</v>
      </c>
      <c r="O179" s="285">
        <f t="shared" si="52"/>
        <v>0.75752623293467858</v>
      </c>
      <c r="P179" s="214"/>
      <c r="Q179" s="214"/>
      <c r="R179" s="214"/>
      <c r="S179" s="214"/>
      <c r="T179" s="214"/>
      <c r="U179" s="214"/>
    </row>
    <row r="180" spans="2:21" ht="16.5" customHeight="1" x14ac:dyDescent="0.25">
      <c r="B180" s="282" t="s">
        <v>269</v>
      </c>
      <c r="C180" s="486" t="s">
        <v>345</v>
      </c>
      <c r="D180" s="486"/>
      <c r="E180" s="224">
        <f t="shared" ref="E180:J180" si="58">E168</f>
        <v>983.16108406405795</v>
      </c>
      <c r="F180" s="224">
        <f t="shared" si="58"/>
        <v>928.78204009081537</v>
      </c>
      <c r="G180" s="224">
        <f t="shared" si="58"/>
        <v>1147.096751891369</v>
      </c>
      <c r="H180" s="224">
        <f t="shared" si="58"/>
        <v>1237.2544259702045</v>
      </c>
      <c r="I180" s="224" t="e">
        <f t="shared" si="58"/>
        <v>#VALUE!</v>
      </c>
      <c r="J180" s="224" t="e">
        <f t="shared" si="58"/>
        <v>#VALUE!</v>
      </c>
      <c r="L180" s="242"/>
      <c r="M180" s="283">
        <f t="shared" si="50"/>
        <v>0.24247376706532128</v>
      </c>
      <c r="N180" s="283">
        <f t="shared" si="51"/>
        <v>0.24247376706532128</v>
      </c>
      <c r="O180" s="283">
        <f t="shared" si="52"/>
        <v>0.24247376706532128</v>
      </c>
      <c r="P180" s="214" t="s">
        <v>346</v>
      </c>
      <c r="Q180" s="214"/>
      <c r="R180" s="214"/>
      <c r="S180" s="214"/>
      <c r="T180" s="214"/>
      <c r="U180" s="214"/>
    </row>
    <row r="181" spans="2:21" ht="23.25" customHeight="1" x14ac:dyDescent="0.25">
      <c r="B181" s="483" t="s">
        <v>347</v>
      </c>
      <c r="C181" s="483"/>
      <c r="D181" s="483"/>
      <c r="E181" s="284">
        <f t="shared" ref="E181:J181" si="59">E180+E179</f>
        <v>4054.7111382948037</v>
      </c>
      <c r="F181" s="284">
        <f t="shared" si="59"/>
        <v>3830.4433973700993</v>
      </c>
      <c r="G181" s="284">
        <f t="shared" si="59"/>
        <v>4730.8076489047435</v>
      </c>
      <c r="H181" s="284">
        <f t="shared" si="59"/>
        <v>5102.6320947820059</v>
      </c>
      <c r="I181" s="284" t="e">
        <f t="shared" si="59"/>
        <v>#VALUE!</v>
      </c>
      <c r="J181" s="284" t="e">
        <f t="shared" si="59"/>
        <v>#VALUE!</v>
      </c>
      <c r="L181" s="242"/>
      <c r="M181" s="283">
        <f t="shared" si="50"/>
        <v>1</v>
      </c>
      <c r="N181" s="283">
        <f t="shared" si="51"/>
        <v>1</v>
      </c>
      <c r="O181" s="283">
        <f t="shared" si="52"/>
        <v>1</v>
      </c>
      <c r="P181" s="214"/>
    </row>
    <row r="182" spans="2:21" x14ac:dyDescent="0.25">
      <c r="L182" s="242"/>
    </row>
    <row r="183" spans="2:21" ht="20.25" customHeight="1" x14ac:dyDescent="0.25">
      <c r="B183" s="484" t="s">
        <v>348</v>
      </c>
      <c r="C183" s="484"/>
      <c r="D183" s="484"/>
      <c r="E183" s="484"/>
      <c r="F183" s="484"/>
      <c r="G183" s="484"/>
      <c r="H183" s="484"/>
      <c r="I183" s="484"/>
      <c r="J183" s="484"/>
      <c r="M183" s="242"/>
      <c r="P183" s="214"/>
    </row>
    <row r="184" spans="2:21" x14ac:dyDescent="0.25">
      <c r="B184" s="213"/>
      <c r="M184" s="242"/>
      <c r="P184" s="214"/>
    </row>
    <row r="185" spans="2:21" ht="63" x14ac:dyDescent="0.25">
      <c r="B185" s="227"/>
      <c r="C185" s="227" t="s">
        <v>349</v>
      </c>
      <c r="D185" s="221" t="s">
        <v>350</v>
      </c>
      <c r="E185" s="221" t="s">
        <v>351</v>
      </c>
      <c r="F185" s="221" t="s">
        <v>352</v>
      </c>
      <c r="G185" s="221" t="s">
        <v>353</v>
      </c>
      <c r="H185" s="221" t="s">
        <v>354</v>
      </c>
      <c r="I185" s="213"/>
      <c r="N185" s="242"/>
      <c r="P185" s="214"/>
      <c r="Q185" s="214"/>
      <c r="R185" s="214"/>
      <c r="S185" s="214"/>
      <c r="T185" s="214"/>
    </row>
    <row r="186" spans="2:21" ht="30" customHeight="1" x14ac:dyDescent="0.25">
      <c r="B186" s="286">
        <v>1</v>
      </c>
      <c r="C186" s="287" t="str">
        <f>E172</f>
        <v>Vigilante 44h semanais</v>
      </c>
      <c r="D186" s="288">
        <f>E181</f>
        <v>4054.7111382948037</v>
      </c>
      <c r="E186" s="225">
        <v>1</v>
      </c>
      <c r="F186" s="289">
        <f t="shared" ref="F186:F191" si="60">D186*E186</f>
        <v>4054.7111382948037</v>
      </c>
      <c r="G186" s="225">
        <f t="shared" ref="G186:G191" si="61">E15</f>
        <v>99</v>
      </c>
      <c r="H186" s="290">
        <f t="shared" ref="H186:H191" si="62">F186*G186</f>
        <v>401416.40269118559</v>
      </c>
      <c r="I186" s="213"/>
      <c r="N186" s="242"/>
      <c r="P186" s="214"/>
      <c r="Q186" s="214"/>
      <c r="R186" s="214"/>
      <c r="S186" s="214"/>
      <c r="T186" s="214"/>
    </row>
    <row r="187" spans="2:21" ht="30" customHeight="1" x14ac:dyDescent="0.25">
      <c r="B187" s="286">
        <v>2</v>
      </c>
      <c r="C187" s="287" t="str">
        <f>F172</f>
        <v>Vigilante 12x36 D</v>
      </c>
      <c r="D187" s="288">
        <f>F181</f>
        <v>3830.4433973700993</v>
      </c>
      <c r="E187" s="225">
        <v>2</v>
      </c>
      <c r="F187" s="289">
        <f t="shared" si="60"/>
        <v>7660.8867947401986</v>
      </c>
      <c r="G187" s="225">
        <f t="shared" si="61"/>
        <v>5</v>
      </c>
      <c r="H187" s="290">
        <f t="shared" si="62"/>
        <v>38304.433973700994</v>
      </c>
      <c r="I187" s="213"/>
      <c r="N187" s="242"/>
      <c r="P187" s="214"/>
      <c r="Q187" s="214"/>
      <c r="R187" s="214"/>
      <c r="S187" s="214"/>
      <c r="T187" s="214"/>
    </row>
    <row r="188" spans="2:21" ht="30" customHeight="1" x14ac:dyDescent="0.25">
      <c r="B188" s="286">
        <v>3</v>
      </c>
      <c r="C188" s="287" t="str">
        <f>G172</f>
        <v>Vigilante 12x36 N</v>
      </c>
      <c r="D188" s="288">
        <f>G181</f>
        <v>4730.8076489047435</v>
      </c>
      <c r="E188" s="225">
        <v>2</v>
      </c>
      <c r="F188" s="289">
        <f t="shared" si="60"/>
        <v>9461.6152978094869</v>
      </c>
      <c r="G188" s="225">
        <f t="shared" si="61"/>
        <v>5</v>
      </c>
      <c r="H188" s="290">
        <f t="shared" si="62"/>
        <v>47308.076489047438</v>
      </c>
      <c r="I188" s="213"/>
      <c r="N188" s="242"/>
      <c r="P188" s="214"/>
      <c r="Q188" s="214"/>
      <c r="R188" s="214"/>
      <c r="S188" s="214"/>
      <c r="T188" s="214"/>
    </row>
    <row r="189" spans="2:21" ht="30" customHeight="1" x14ac:dyDescent="0.25">
      <c r="B189" s="286">
        <v>4</v>
      </c>
      <c r="C189" s="287" t="str">
        <f>H172</f>
        <v>Supervisor 44h semanais</v>
      </c>
      <c r="D189" s="288">
        <f>H181</f>
        <v>5102.6320947820059</v>
      </c>
      <c r="E189" s="225">
        <v>1</v>
      </c>
      <c r="F189" s="289">
        <f t="shared" si="60"/>
        <v>5102.6320947820059</v>
      </c>
      <c r="G189" s="225">
        <f t="shared" si="61"/>
        <v>1</v>
      </c>
      <c r="H189" s="290">
        <f t="shared" si="62"/>
        <v>5102.6320947820059</v>
      </c>
      <c r="I189" s="291"/>
      <c r="N189" s="242"/>
      <c r="P189" s="214"/>
      <c r="Q189" s="214"/>
      <c r="R189" s="214"/>
      <c r="S189" s="214"/>
      <c r="T189" s="214"/>
    </row>
    <row r="190" spans="2:21" ht="30" hidden="1" customHeight="1" x14ac:dyDescent="0.25">
      <c r="B190" s="292"/>
      <c r="C190" s="293" t="str">
        <f>I172</f>
        <v>Supervisor 12x36 D</v>
      </c>
      <c r="D190" s="294" t="e">
        <f>I181</f>
        <v>#VALUE!</v>
      </c>
      <c r="E190" s="295">
        <v>2</v>
      </c>
      <c r="F190" s="296" t="e">
        <f t="shared" si="60"/>
        <v>#VALUE!</v>
      </c>
      <c r="G190" s="295">
        <f t="shared" si="61"/>
        <v>0</v>
      </c>
      <c r="H190" s="297" t="e">
        <f t="shared" si="62"/>
        <v>#VALUE!</v>
      </c>
      <c r="I190" s="298"/>
      <c r="N190" s="242"/>
      <c r="P190" s="214"/>
      <c r="Q190" s="214"/>
      <c r="R190" s="214"/>
      <c r="S190" s="214"/>
      <c r="T190" s="214"/>
    </row>
    <row r="191" spans="2:21" ht="30" hidden="1" customHeight="1" x14ac:dyDescent="0.25">
      <c r="B191" s="292"/>
      <c r="C191" s="293" t="str">
        <f>J172</f>
        <v>Supervisor 12x36 N</v>
      </c>
      <c r="D191" s="294" t="e">
        <f>J181</f>
        <v>#VALUE!</v>
      </c>
      <c r="E191" s="295">
        <v>2</v>
      </c>
      <c r="F191" s="296" t="e">
        <f t="shared" si="60"/>
        <v>#VALUE!</v>
      </c>
      <c r="G191" s="295">
        <f t="shared" si="61"/>
        <v>0</v>
      </c>
      <c r="H191" s="297" t="e">
        <f t="shared" si="62"/>
        <v>#VALUE!</v>
      </c>
      <c r="I191" s="298"/>
      <c r="N191" s="242"/>
      <c r="P191" s="214"/>
      <c r="Q191" s="214"/>
      <c r="R191" s="214"/>
      <c r="S191" s="214"/>
      <c r="T191" s="214"/>
    </row>
    <row r="192" spans="2:21" ht="27" customHeight="1" x14ac:dyDescent="0.25">
      <c r="B192" s="213"/>
      <c r="C192" s="299" t="s">
        <v>44</v>
      </c>
      <c r="D192" s="300"/>
      <c r="E192" s="300"/>
      <c r="F192" s="300"/>
      <c r="G192" s="301"/>
      <c r="H192" s="302">
        <f>SUM(H186:H189)</f>
        <v>492131.54524871602</v>
      </c>
      <c r="I192" s="213"/>
      <c r="J192" s="303"/>
      <c r="N192" s="242"/>
      <c r="P192" s="214"/>
      <c r="Q192" s="214"/>
      <c r="R192" s="214"/>
      <c r="S192" s="214"/>
      <c r="T192" s="214"/>
    </row>
    <row r="193" spans="2:16" x14ac:dyDescent="0.25">
      <c r="L193" s="242"/>
    </row>
    <row r="194" spans="2:16" x14ac:dyDescent="0.25">
      <c r="L194" s="242"/>
    </row>
    <row r="195" spans="2:16" x14ac:dyDescent="0.25">
      <c r="B195" s="484" t="s">
        <v>355</v>
      </c>
      <c r="C195" s="484"/>
      <c r="D195" s="484"/>
      <c r="E195" s="484"/>
      <c r="F195" s="484"/>
      <c r="G195" s="484"/>
      <c r="H195" s="484"/>
      <c r="I195" s="484"/>
      <c r="J195" s="484"/>
      <c r="L195" s="242"/>
    </row>
    <row r="196" spans="2:16" x14ac:dyDescent="0.25">
      <c r="L196" s="242"/>
    </row>
    <row r="197" spans="2:16" ht="16.5" customHeight="1" x14ac:dyDescent="0.25">
      <c r="B197" s="483" t="s">
        <v>356</v>
      </c>
      <c r="C197" s="483"/>
      <c r="D197" s="483"/>
      <c r="E197" s="483"/>
      <c r="F197" s="483"/>
      <c r="L197" s="242"/>
      <c r="P197" s="214"/>
    </row>
    <row r="198" spans="2:16" ht="26.25" customHeight="1" x14ac:dyDescent="0.25">
      <c r="B198" s="227" t="s">
        <v>229</v>
      </c>
      <c r="C198" s="304" t="s">
        <v>357</v>
      </c>
      <c r="D198" s="305"/>
      <c r="E198" s="497">
        <f>H192</f>
        <v>492131.54524871602</v>
      </c>
      <c r="F198" s="497"/>
      <c r="H198" s="306"/>
      <c r="L198" s="242"/>
      <c r="P198" s="214"/>
    </row>
    <row r="199" spans="2:16" ht="45.75" customHeight="1" x14ac:dyDescent="0.25">
      <c r="B199" s="227" t="s">
        <v>232</v>
      </c>
      <c r="C199" s="498" t="s">
        <v>358</v>
      </c>
      <c r="D199" s="498"/>
      <c r="E199" s="499">
        <f>E198*D11</f>
        <v>5905578.5429845918</v>
      </c>
      <c r="F199" s="499"/>
      <c r="H199" s="307"/>
      <c r="L199" s="242"/>
      <c r="P199" s="214"/>
    </row>
    <row r="200" spans="2:16" ht="56.25" customHeight="1" x14ac:dyDescent="0.25">
      <c r="L200" s="242"/>
    </row>
    <row r="201" spans="2:16" x14ac:dyDescent="0.25">
      <c r="B201" s="308" t="s">
        <v>359</v>
      </c>
      <c r="L201" s="242"/>
    </row>
    <row r="202" spans="2:16" x14ac:dyDescent="0.25">
      <c r="B202" s="308" t="s">
        <v>360</v>
      </c>
    </row>
    <row r="203" spans="2:16" x14ac:dyDescent="0.25">
      <c r="B203" s="256" t="s">
        <v>361</v>
      </c>
    </row>
    <row r="204" spans="2:16" x14ac:dyDescent="0.25">
      <c r="B204" s="256" t="s">
        <v>362</v>
      </c>
    </row>
    <row r="205" spans="2:16" x14ac:dyDescent="0.25">
      <c r="B205" s="214" t="s">
        <v>363</v>
      </c>
    </row>
  </sheetData>
  <mergeCells count="95">
    <mergeCell ref="B195:J195"/>
    <mergeCell ref="B197:F197"/>
    <mergeCell ref="E198:F198"/>
    <mergeCell ref="C199:D199"/>
    <mergeCell ref="E199:F199"/>
    <mergeCell ref="C178:D178"/>
    <mergeCell ref="B179:D179"/>
    <mergeCell ref="C180:D180"/>
    <mergeCell ref="B181:D181"/>
    <mergeCell ref="B183:J183"/>
    <mergeCell ref="C173:D173"/>
    <mergeCell ref="C174:D174"/>
    <mergeCell ref="C175:D175"/>
    <mergeCell ref="C176:D176"/>
    <mergeCell ref="C177:D177"/>
    <mergeCell ref="C153:D153"/>
    <mergeCell ref="B154:D154"/>
    <mergeCell ref="B156:J156"/>
    <mergeCell ref="B168:C168"/>
    <mergeCell ref="B170:J170"/>
    <mergeCell ref="C145:D145"/>
    <mergeCell ref="C146:D146"/>
    <mergeCell ref="B147:D147"/>
    <mergeCell ref="B149:J149"/>
    <mergeCell ref="C152:D152"/>
    <mergeCell ref="C136:D136"/>
    <mergeCell ref="C137:D137"/>
    <mergeCell ref="B138:D138"/>
    <mergeCell ref="B141:J141"/>
    <mergeCell ref="C144:D144"/>
    <mergeCell ref="C117:D117"/>
    <mergeCell ref="C118:D118"/>
    <mergeCell ref="C130:D130"/>
    <mergeCell ref="B131:D131"/>
    <mergeCell ref="B133:J133"/>
    <mergeCell ref="C109:D109"/>
    <mergeCell ref="B110:D110"/>
    <mergeCell ref="B112:J112"/>
    <mergeCell ref="B114:J114"/>
    <mergeCell ref="C115:D115"/>
    <mergeCell ref="C104:D104"/>
    <mergeCell ref="C105:D105"/>
    <mergeCell ref="C106:D106"/>
    <mergeCell ref="C107:D107"/>
    <mergeCell ref="C108:D108"/>
    <mergeCell ref="C95:D95"/>
    <mergeCell ref="C96:D96"/>
    <mergeCell ref="B97:D97"/>
    <mergeCell ref="B100:J100"/>
    <mergeCell ref="C103:D103"/>
    <mergeCell ref="C86:D86"/>
    <mergeCell ref="B87:D87"/>
    <mergeCell ref="B90:J90"/>
    <mergeCell ref="C93:D93"/>
    <mergeCell ref="C94:D94"/>
    <mergeCell ref="C81:D81"/>
    <mergeCell ref="C82:D82"/>
    <mergeCell ref="C83:D83"/>
    <mergeCell ref="C84:D84"/>
    <mergeCell ref="C85:D85"/>
    <mergeCell ref="B72:C72"/>
    <mergeCell ref="B75:J75"/>
    <mergeCell ref="C78:D78"/>
    <mergeCell ref="C79:D79"/>
    <mergeCell ref="C80:D80"/>
    <mergeCell ref="C54:D54"/>
    <mergeCell ref="C55:D55"/>
    <mergeCell ref="C56:D56"/>
    <mergeCell ref="B57:D57"/>
    <mergeCell ref="B60:J60"/>
    <mergeCell ref="C44:D44"/>
    <mergeCell ref="C45:D45"/>
    <mergeCell ref="B46:D46"/>
    <mergeCell ref="B49:J49"/>
    <mergeCell ref="B51:J51"/>
    <mergeCell ref="C39:D39"/>
    <mergeCell ref="C40:D40"/>
    <mergeCell ref="C41:D41"/>
    <mergeCell ref="C42:D42"/>
    <mergeCell ref="C43:D43"/>
    <mergeCell ref="C31:D31"/>
    <mergeCell ref="C32:D32"/>
    <mergeCell ref="C33:D33"/>
    <mergeCell ref="B35:J35"/>
    <mergeCell ref="C38:D38"/>
    <mergeCell ref="B26:J26"/>
    <mergeCell ref="C27:D27"/>
    <mergeCell ref="C28:D28"/>
    <mergeCell ref="C29:D29"/>
    <mergeCell ref="C30:D30"/>
    <mergeCell ref="B5:J5"/>
    <mergeCell ref="B7:D7"/>
    <mergeCell ref="B13:D13"/>
    <mergeCell ref="B14:C14"/>
    <mergeCell ref="B22:J22"/>
  </mergeCells>
  <printOptions horizontalCentered="1"/>
  <pageMargins left="0.23611111111111099" right="0.23611111111111099" top="0.74861111111111101" bottom="0.74861111111111101" header="0.31527777777777799" footer="0.31527777777777799"/>
  <pageSetup paperSize="9" scale="65" firstPageNumber="0" orientation="landscape" horizontalDpi="300" verticalDpi="300"/>
  <headerFooter>
    <oddHeader>&amp;C&amp;A</oddHeader>
    <oddFooter>&amp;L&amp;Z&amp;F&amp;R&amp;P /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D191"/>
  <sheetViews>
    <sheetView showGridLines="0" topLeftCell="A164" zoomScale="60" zoomScaleNormal="60" workbookViewId="0">
      <selection sqref="A1:H191"/>
    </sheetView>
  </sheetViews>
  <sheetFormatPr defaultColWidth="9.140625" defaultRowHeight="15.75" x14ac:dyDescent="0.25"/>
  <cols>
    <col min="1" max="1" width="1.7109375" style="213" customWidth="1"/>
    <col min="2" max="2" width="16.7109375" style="214" customWidth="1"/>
    <col min="3" max="3" width="41.7109375" style="214" customWidth="1"/>
    <col min="4" max="4" width="21.7109375" style="214" customWidth="1"/>
    <col min="5" max="5" width="19.7109375" style="214" customWidth="1"/>
    <col min="6" max="6" width="27.5703125" style="214" customWidth="1"/>
    <col min="7" max="7" width="14.42578125" style="214" customWidth="1"/>
    <col min="8" max="8" width="25.28515625" style="214" customWidth="1"/>
    <col min="9" max="9" width="9.140625" style="214"/>
    <col min="10" max="1018" width="9.140625" style="213"/>
    <col min="1019" max="1024" width="11.5703125" customWidth="1"/>
  </cols>
  <sheetData>
    <row r="1" spans="2:11" ht="18.75" customHeight="1" x14ac:dyDescent="0.25">
      <c r="B1" s="215" t="s">
        <v>364</v>
      </c>
    </row>
    <row r="2" spans="2:11" ht="24" customHeight="1" x14ac:dyDescent="0.25">
      <c r="B2" s="89" t="s">
        <v>365</v>
      </c>
    </row>
    <row r="3" spans="2:11" ht="30.75" customHeight="1" x14ac:dyDescent="0.25">
      <c r="B3" s="500" t="s">
        <v>366</v>
      </c>
      <c r="C3" s="500"/>
      <c r="D3" s="500"/>
      <c r="E3" s="500"/>
      <c r="F3" s="500"/>
      <c r="G3" s="500"/>
      <c r="H3" s="500"/>
    </row>
    <row r="4" spans="2:11" ht="17.25" customHeight="1" x14ac:dyDescent="0.25">
      <c r="B4" s="216" t="s">
        <v>367</v>
      </c>
      <c r="H4" s="309"/>
    </row>
    <row r="5" spans="2:11" ht="33" customHeight="1" x14ac:dyDescent="0.35">
      <c r="B5" s="310" t="s">
        <v>0</v>
      </c>
      <c r="C5" s="218"/>
      <c r="D5" s="218"/>
      <c r="E5" s="218"/>
      <c r="F5" s="218"/>
      <c r="G5" s="311"/>
      <c r="H5" s="311"/>
    </row>
    <row r="6" spans="2:11" x14ac:dyDescent="0.25">
      <c r="B6" s="312"/>
    </row>
    <row r="7" spans="2:11" x14ac:dyDescent="0.25">
      <c r="B7" s="313" t="s">
        <v>226</v>
      </c>
      <c r="C7" s="314"/>
      <c r="D7" s="314"/>
      <c r="E7" s="314"/>
    </row>
    <row r="8" spans="2:11" ht="27" customHeight="1" x14ac:dyDescent="0.25">
      <c r="B8" s="219" t="s">
        <v>227</v>
      </c>
      <c r="C8" s="315" t="s">
        <v>228</v>
      </c>
      <c r="D8" s="316"/>
      <c r="E8" s="316"/>
      <c r="F8" s="316"/>
      <c r="G8" s="220"/>
      <c r="H8" s="221"/>
      <c r="J8" s="214"/>
      <c r="K8" s="214"/>
    </row>
    <row r="9" spans="2:11" ht="27" customHeight="1" x14ac:dyDescent="0.25">
      <c r="B9" s="222" t="s">
        <v>229</v>
      </c>
      <c r="C9" s="315" t="s">
        <v>230</v>
      </c>
      <c r="D9" s="317"/>
      <c r="E9" s="317"/>
      <c r="F9" s="317"/>
      <c r="G9" s="305"/>
      <c r="H9" s="224" t="s">
        <v>231</v>
      </c>
      <c r="J9" s="214"/>
      <c r="K9" s="214"/>
    </row>
    <row r="10" spans="2:11" ht="27" hidden="1" customHeight="1" x14ac:dyDescent="0.25">
      <c r="B10" s="222" t="s">
        <v>232</v>
      </c>
      <c r="C10" s="315" t="s">
        <v>233</v>
      </c>
      <c r="D10" s="317"/>
      <c r="E10" s="317"/>
      <c r="F10" s="317"/>
      <c r="G10" s="305"/>
      <c r="H10" s="225">
        <v>2019</v>
      </c>
      <c r="J10" s="214"/>
      <c r="K10" s="214"/>
    </row>
    <row r="11" spans="2:11" ht="27" customHeight="1" x14ac:dyDescent="0.25">
      <c r="B11" s="222" t="s">
        <v>232</v>
      </c>
      <c r="C11" s="315" t="s">
        <v>235</v>
      </c>
      <c r="D11" s="317"/>
      <c r="E11" s="317"/>
      <c r="F11" s="317"/>
      <c r="G11" s="305"/>
      <c r="H11" s="226">
        <v>12</v>
      </c>
      <c r="J11" s="214"/>
      <c r="K11" s="214"/>
    </row>
    <row r="12" spans="2:11" ht="22.5" customHeight="1" x14ac:dyDescent="0.25"/>
    <row r="13" spans="2:11" x14ac:dyDescent="0.25">
      <c r="B13" s="318" t="s">
        <v>236</v>
      </c>
      <c r="C13" s="46"/>
      <c r="D13" s="46"/>
    </row>
    <row r="14" spans="2:11" ht="47.25" x14ac:dyDescent="0.25">
      <c r="B14" s="319" t="s">
        <v>237</v>
      </c>
      <c r="C14" s="320"/>
      <c r="D14" s="321"/>
      <c r="E14" s="221" t="s">
        <v>368</v>
      </c>
      <c r="F14" s="221" t="s">
        <v>238</v>
      </c>
      <c r="G14" s="221" t="s">
        <v>369</v>
      </c>
      <c r="H14" s="221" t="s">
        <v>370</v>
      </c>
      <c r="I14" s="228"/>
      <c r="J14" s="214"/>
    </row>
    <row r="15" spans="2:11" ht="38.25" customHeight="1" x14ac:dyDescent="0.25">
      <c r="B15" s="315" t="s">
        <v>371</v>
      </c>
      <c r="C15" s="322"/>
      <c r="D15" s="323"/>
      <c r="E15" s="225" t="s">
        <v>372</v>
      </c>
      <c r="F15" s="225" t="s">
        <v>241</v>
      </c>
      <c r="G15" s="226">
        <v>2</v>
      </c>
      <c r="H15" s="226">
        <v>1</v>
      </c>
      <c r="J15" s="214"/>
    </row>
    <row r="16" spans="2:11" x14ac:dyDescent="0.25">
      <c r="B16" s="234"/>
      <c r="C16" s="234"/>
      <c r="D16" s="235"/>
      <c r="E16" s="236"/>
    </row>
    <row r="17" spans="2:11" x14ac:dyDescent="0.25">
      <c r="B17" s="324" t="s">
        <v>247</v>
      </c>
      <c r="C17" s="237"/>
      <c r="D17" s="237"/>
      <c r="E17" s="237"/>
      <c r="F17" s="237"/>
      <c r="G17" s="237"/>
      <c r="H17" s="237"/>
      <c r="I17" s="17"/>
    </row>
    <row r="18" spans="2:11" ht="11.25" customHeight="1" x14ac:dyDescent="0.25"/>
    <row r="19" spans="2:11" x14ac:dyDescent="0.25">
      <c r="B19" s="214" t="s">
        <v>248</v>
      </c>
    </row>
    <row r="20" spans="2:11" x14ac:dyDescent="0.25">
      <c r="B20" s="214" t="s">
        <v>249</v>
      </c>
    </row>
    <row r="21" spans="2:11" ht="27" customHeight="1" x14ac:dyDescent="0.25">
      <c r="B21" s="325" t="s">
        <v>250</v>
      </c>
      <c r="C21" s="326"/>
      <c r="D21" s="326"/>
      <c r="E21" s="326"/>
      <c r="F21" s="326"/>
      <c r="G21" s="326"/>
      <c r="H21" s="327"/>
      <c r="I21" s="46"/>
      <c r="J21" s="214"/>
      <c r="K21" s="214"/>
    </row>
    <row r="22" spans="2:11" ht="32.25" customHeight="1" x14ac:dyDescent="0.25">
      <c r="B22" s="219">
        <v>1</v>
      </c>
      <c r="C22" s="315" t="s">
        <v>373</v>
      </c>
      <c r="D22" s="317"/>
      <c r="E22" s="328"/>
      <c r="F22" s="329"/>
      <c r="G22" s="330" t="s">
        <v>374</v>
      </c>
      <c r="H22" s="331"/>
      <c r="I22" s="332"/>
      <c r="J22" s="214"/>
      <c r="K22" s="214"/>
    </row>
    <row r="23" spans="2:11" ht="23.25" customHeight="1" x14ac:dyDescent="0.25">
      <c r="B23" s="222">
        <v>2</v>
      </c>
      <c r="C23" s="315" t="s">
        <v>252</v>
      </c>
      <c r="D23" s="317"/>
      <c r="E23" s="328"/>
      <c r="F23" s="329"/>
      <c r="G23" s="333">
        <v>2251</v>
      </c>
      <c r="H23" s="331"/>
      <c r="I23" s="334"/>
      <c r="J23" s="214"/>
      <c r="K23" s="214"/>
    </row>
    <row r="24" spans="2:11" ht="23.25" customHeight="1" x14ac:dyDescent="0.25">
      <c r="B24" s="222">
        <v>3</v>
      </c>
      <c r="C24" s="315" t="s">
        <v>375</v>
      </c>
      <c r="D24" s="317"/>
      <c r="E24" s="328"/>
      <c r="F24" s="329"/>
      <c r="G24" s="335">
        <v>7143.18</v>
      </c>
      <c r="H24" s="331"/>
      <c r="I24" s="334"/>
      <c r="J24" s="214"/>
      <c r="K24" s="214"/>
    </row>
    <row r="25" spans="2:11" ht="26.25" hidden="1" customHeight="1" x14ac:dyDescent="0.25">
      <c r="B25" s="222">
        <v>4</v>
      </c>
      <c r="C25" s="336" t="s">
        <v>376</v>
      </c>
      <c r="D25" s="304"/>
      <c r="E25" s="337"/>
      <c r="F25" s="338"/>
      <c r="G25" s="335">
        <f>AVERAGE(7966.69,10000)</f>
        <v>8983.3449999999993</v>
      </c>
      <c r="H25" s="331"/>
      <c r="I25" s="339"/>
      <c r="J25" s="214"/>
      <c r="K25" s="214"/>
    </row>
    <row r="26" spans="2:11" ht="45.75" hidden="1" customHeight="1" x14ac:dyDescent="0.25">
      <c r="B26" s="222">
        <v>4</v>
      </c>
      <c r="C26" s="315" t="s">
        <v>256</v>
      </c>
      <c r="D26" s="317"/>
      <c r="E26" s="328"/>
      <c r="F26" s="329"/>
      <c r="G26" s="340" t="s">
        <v>377</v>
      </c>
      <c r="H26" s="331"/>
      <c r="I26" s="334"/>
      <c r="J26" s="214"/>
      <c r="K26" s="214"/>
    </row>
    <row r="27" spans="2:11" ht="26.25" hidden="1" customHeight="1" x14ac:dyDescent="0.25">
      <c r="B27" s="222">
        <v>5</v>
      </c>
      <c r="C27" s="315" t="s">
        <v>258</v>
      </c>
      <c r="D27" s="317"/>
      <c r="E27" s="328"/>
      <c r="F27" s="329"/>
      <c r="G27" s="340" t="s">
        <v>378</v>
      </c>
      <c r="H27" s="331"/>
      <c r="I27" s="334"/>
      <c r="J27" s="214"/>
      <c r="K27" s="214"/>
    </row>
    <row r="28" spans="2:11" hidden="1" x14ac:dyDescent="0.25">
      <c r="B28" s="222"/>
      <c r="C28" s="238"/>
      <c r="D28" s="238"/>
      <c r="E28" s="240"/>
      <c r="F28" s="240"/>
      <c r="G28" s="240"/>
      <c r="H28" s="224"/>
      <c r="I28" s="334"/>
      <c r="J28" s="214"/>
      <c r="K28" s="214"/>
    </row>
    <row r="29" spans="2:11" hidden="1" x14ac:dyDescent="0.25">
      <c r="B29" s="222"/>
      <c r="C29" s="238"/>
      <c r="D29" s="238"/>
      <c r="E29" s="224"/>
      <c r="F29" s="224"/>
      <c r="G29" s="224"/>
      <c r="H29" s="224"/>
      <c r="I29" s="334"/>
      <c r="J29" s="214"/>
      <c r="K29" s="214"/>
    </row>
    <row r="30" spans="2:11" x14ac:dyDescent="0.25">
      <c r="K30" s="214"/>
    </row>
    <row r="31" spans="2:11" x14ac:dyDescent="0.25">
      <c r="B31" s="341" t="s">
        <v>261</v>
      </c>
      <c r="C31" s="241"/>
      <c r="D31" s="241"/>
      <c r="E31" s="241"/>
      <c r="F31" s="241"/>
      <c r="G31" s="241"/>
      <c r="H31" s="241"/>
      <c r="I31" s="46"/>
      <c r="K31" s="214"/>
    </row>
    <row r="32" spans="2:11" x14ac:dyDescent="0.25">
      <c r="K32" s="214"/>
    </row>
    <row r="33" spans="2:11" x14ac:dyDescent="0.25">
      <c r="C33" s="256"/>
      <c r="D33" s="256"/>
      <c r="E33" s="88"/>
      <c r="F33" s="88"/>
      <c r="G33" s="88"/>
      <c r="H33" s="239" t="str">
        <f>G22</f>
        <v>Médico</v>
      </c>
      <c r="I33" s="332"/>
      <c r="K33" s="214"/>
    </row>
    <row r="34" spans="2:11" ht="16.5" customHeight="1" x14ac:dyDescent="0.25">
      <c r="B34" s="227">
        <v>1</v>
      </c>
      <c r="C34" s="342" t="s">
        <v>262</v>
      </c>
      <c r="D34" s="343"/>
      <c r="E34" s="343"/>
      <c r="F34" s="343"/>
      <c r="G34" s="221"/>
      <c r="H34" s="221" t="s">
        <v>263</v>
      </c>
      <c r="I34" s="88"/>
      <c r="J34" s="214"/>
      <c r="K34" s="214"/>
    </row>
    <row r="35" spans="2:11" ht="15" customHeight="1" x14ac:dyDescent="0.25">
      <c r="B35" s="222" t="s">
        <v>227</v>
      </c>
      <c r="C35" s="344" t="s">
        <v>264</v>
      </c>
      <c r="D35" s="317"/>
      <c r="E35" s="317"/>
      <c r="F35" s="317"/>
      <c r="G35" s="305"/>
      <c r="H35" s="240">
        <f>G24</f>
        <v>7143.18</v>
      </c>
      <c r="I35" s="339"/>
      <c r="J35" s="214"/>
      <c r="K35" s="214"/>
    </row>
    <row r="36" spans="2:11" ht="16.5" customHeight="1" x14ac:dyDescent="0.25">
      <c r="B36" s="222" t="s">
        <v>229</v>
      </c>
      <c r="C36" s="344" t="s">
        <v>265</v>
      </c>
      <c r="D36" s="317"/>
      <c r="E36" s="317"/>
      <c r="F36" s="317"/>
      <c r="G36" s="305"/>
      <c r="H36" s="224"/>
      <c r="I36" s="334"/>
      <c r="J36" s="214"/>
    </row>
    <row r="37" spans="2:11" ht="15" customHeight="1" x14ac:dyDescent="0.25">
      <c r="B37" s="222" t="s">
        <v>232</v>
      </c>
      <c r="C37" s="344" t="s">
        <v>266</v>
      </c>
      <c r="D37" s="317"/>
      <c r="E37" s="317"/>
      <c r="F37" s="317"/>
      <c r="G37" s="305"/>
      <c r="H37" s="224">
        <f>20%*1045</f>
        <v>209</v>
      </c>
      <c r="I37" s="334"/>
      <c r="J37" s="214"/>
    </row>
    <row r="38" spans="2:11" ht="16.5" customHeight="1" x14ac:dyDescent="0.25">
      <c r="B38" s="222" t="s">
        <v>234</v>
      </c>
      <c r="C38" s="344" t="s">
        <v>379</v>
      </c>
      <c r="D38" s="317"/>
      <c r="E38" s="317"/>
      <c r="F38" s="317"/>
      <c r="G38" s="305"/>
      <c r="H38" s="224"/>
      <c r="I38" s="334"/>
      <c r="J38" s="214"/>
    </row>
    <row r="39" spans="2:11" ht="16.5" customHeight="1" x14ac:dyDescent="0.25">
      <c r="B39" s="222" t="s">
        <v>267</v>
      </c>
      <c r="C39" s="344" t="s">
        <v>268</v>
      </c>
      <c r="D39" s="317"/>
      <c r="E39" s="317"/>
      <c r="F39" s="317"/>
      <c r="G39" s="305"/>
      <c r="H39" s="224"/>
      <c r="I39" s="334"/>
      <c r="J39" s="214"/>
    </row>
    <row r="40" spans="2:11" ht="16.5" customHeight="1" x14ac:dyDescent="0.25">
      <c r="B40" s="222" t="s">
        <v>269</v>
      </c>
      <c r="C40" s="344" t="s">
        <v>41</v>
      </c>
      <c r="D40" s="317"/>
      <c r="E40" s="317"/>
      <c r="F40" s="317"/>
      <c r="G40" s="305"/>
      <c r="H40" s="224"/>
      <c r="I40" s="334"/>
      <c r="J40" s="214"/>
    </row>
    <row r="41" spans="2:11" ht="16.5" customHeight="1" x14ac:dyDescent="0.25">
      <c r="B41" s="222" t="s">
        <v>270</v>
      </c>
      <c r="C41" s="344" t="s">
        <v>271</v>
      </c>
      <c r="D41" s="317"/>
      <c r="E41" s="317"/>
      <c r="F41" s="317"/>
      <c r="G41" s="305"/>
      <c r="H41" s="224"/>
      <c r="I41" s="334"/>
      <c r="J41" s="214"/>
    </row>
    <row r="42" spans="2:11" ht="15" customHeight="1" x14ac:dyDescent="0.25">
      <c r="B42" s="345" t="s">
        <v>44</v>
      </c>
      <c r="C42" s="346"/>
      <c r="D42" s="346"/>
      <c r="E42" s="347"/>
      <c r="F42" s="347"/>
      <c r="G42" s="348"/>
      <c r="H42" s="243">
        <f>SUM(H35:H41)</f>
        <v>7352.18</v>
      </c>
      <c r="I42" s="349"/>
      <c r="J42" s="214"/>
    </row>
    <row r="44" spans="2:11" x14ac:dyDescent="0.25">
      <c r="E44" s="350"/>
      <c r="F44" s="350"/>
      <c r="G44" s="350"/>
      <c r="H44" s="350"/>
      <c r="I44" s="350"/>
    </row>
    <row r="45" spans="2:11" x14ac:dyDescent="0.25">
      <c r="B45" s="341" t="s">
        <v>272</v>
      </c>
      <c r="C45" s="241"/>
      <c r="D45" s="241"/>
      <c r="E45" s="241"/>
      <c r="F45" s="241"/>
      <c r="G45" s="241"/>
      <c r="H45" s="241"/>
      <c r="I45" s="17"/>
    </row>
    <row r="46" spans="2:11" x14ac:dyDescent="0.25">
      <c r="B46" s="351"/>
    </row>
    <row r="47" spans="2:11" x14ac:dyDescent="0.25">
      <c r="B47" s="352" t="s">
        <v>273</v>
      </c>
      <c r="C47" s="245"/>
      <c r="D47" s="245"/>
      <c r="E47" s="245"/>
      <c r="F47" s="245"/>
      <c r="G47" s="245"/>
      <c r="H47" s="245"/>
      <c r="I47" s="46"/>
    </row>
    <row r="49" spans="2:1018" x14ac:dyDescent="0.25">
      <c r="C49" s="256"/>
      <c r="D49" s="256"/>
      <c r="E49" s="88"/>
      <c r="F49" s="88"/>
      <c r="G49" s="88"/>
      <c r="H49" s="239" t="str">
        <f>H33</f>
        <v>Médico</v>
      </c>
      <c r="I49" s="332"/>
    </row>
    <row r="50" spans="2:1018" ht="32.25" customHeight="1" x14ac:dyDescent="0.25">
      <c r="B50" s="227" t="s">
        <v>274</v>
      </c>
      <c r="C50" s="342" t="s">
        <v>275</v>
      </c>
      <c r="D50" s="343"/>
      <c r="E50" s="343"/>
      <c r="F50" s="343"/>
      <c r="G50" s="221"/>
      <c r="H50" s="221" t="s">
        <v>263</v>
      </c>
      <c r="I50" s="88"/>
      <c r="J50" s="214"/>
    </row>
    <row r="51" spans="2:1018" ht="16.5" customHeight="1" x14ac:dyDescent="0.25">
      <c r="B51" s="222" t="s">
        <v>227</v>
      </c>
      <c r="C51" s="344" t="s">
        <v>276</v>
      </c>
      <c r="D51" s="317"/>
      <c r="E51" s="317"/>
      <c r="F51" s="317"/>
      <c r="G51" s="305"/>
      <c r="H51" s="224">
        <f>H42*8.33%</f>
        <v>612.43659400000001</v>
      </c>
      <c r="I51" s="334"/>
      <c r="J51" s="214"/>
    </row>
    <row r="52" spans="2:1018" ht="16.5" customHeight="1" x14ac:dyDescent="0.25">
      <c r="B52" s="222" t="s">
        <v>229</v>
      </c>
      <c r="C52" s="344" t="s">
        <v>277</v>
      </c>
      <c r="D52" s="317"/>
      <c r="E52" s="317"/>
      <c r="F52" s="317"/>
      <c r="G52" s="305"/>
      <c r="H52" s="224">
        <f>H42*12.1%</f>
        <v>889.61378000000002</v>
      </c>
      <c r="I52" s="334"/>
      <c r="J52" s="214"/>
    </row>
    <row r="53" spans="2:1018" ht="16.5" customHeight="1" x14ac:dyDescent="0.25">
      <c r="B53" s="325" t="s">
        <v>44</v>
      </c>
      <c r="C53" s="353"/>
      <c r="D53" s="353"/>
      <c r="E53" s="354"/>
      <c r="F53" s="354"/>
      <c r="G53" s="355"/>
      <c r="H53" s="246">
        <f>ROUND(SUM(H51:H52),2)</f>
        <v>1502.05</v>
      </c>
      <c r="I53" s="349"/>
      <c r="J53" s="214"/>
    </row>
    <row r="56" spans="2:1018" ht="31.5" customHeight="1" x14ac:dyDescent="0.25">
      <c r="B56" s="352" t="s">
        <v>278</v>
      </c>
      <c r="C56" s="247"/>
      <c r="D56" s="247"/>
      <c r="E56" s="247"/>
      <c r="F56" s="247"/>
      <c r="G56" s="247"/>
      <c r="H56" s="247"/>
      <c r="I56" s="88"/>
    </row>
    <row r="58" spans="2:1018" x14ac:dyDescent="0.25">
      <c r="E58" s="88"/>
      <c r="F58" s="88"/>
      <c r="G58"/>
      <c r="H58" s="239" t="str">
        <f>H49</f>
        <v>Médico</v>
      </c>
      <c r="I58" s="332"/>
      <c r="AMD58"/>
    </row>
    <row r="59" spans="2:1018" ht="21.75" customHeight="1" x14ac:dyDescent="0.25">
      <c r="B59" s="227" t="s">
        <v>279</v>
      </c>
      <c r="C59" s="356" t="s">
        <v>280</v>
      </c>
      <c r="D59" s="343"/>
      <c r="E59" s="221"/>
      <c r="F59" s="357" t="s">
        <v>281</v>
      </c>
      <c r="G59" s="221"/>
      <c r="H59" s="221" t="s">
        <v>263</v>
      </c>
      <c r="I59" s="88"/>
      <c r="AMD59"/>
    </row>
    <row r="60" spans="2:1018" x14ac:dyDescent="0.25">
      <c r="B60" s="222" t="s">
        <v>227</v>
      </c>
      <c r="C60" s="358" t="s">
        <v>282</v>
      </c>
      <c r="D60" s="359"/>
      <c r="E60" s="248"/>
      <c r="F60" s="360">
        <v>0.2</v>
      </c>
      <c r="G60" s="248"/>
      <c r="H60" s="224">
        <f t="shared" ref="H60:H67" si="0">($H$53+$H$42)*F60</f>
        <v>1770.846</v>
      </c>
      <c r="I60" s="334"/>
      <c r="AMD60"/>
    </row>
    <row r="61" spans="2:1018" x14ac:dyDescent="0.25">
      <c r="B61" s="222" t="s">
        <v>229</v>
      </c>
      <c r="C61" s="358" t="s">
        <v>283</v>
      </c>
      <c r="D61" s="359"/>
      <c r="E61" s="248"/>
      <c r="F61" s="360">
        <v>2.5000000000000001E-2</v>
      </c>
      <c r="G61" s="248"/>
      <c r="H61" s="224">
        <f t="shared" si="0"/>
        <v>221.35575</v>
      </c>
      <c r="I61" s="334"/>
      <c r="AMD61"/>
    </row>
    <row r="62" spans="2:1018" x14ac:dyDescent="0.25">
      <c r="B62" s="222" t="s">
        <v>232</v>
      </c>
      <c r="C62" s="358" t="s">
        <v>284</v>
      </c>
      <c r="D62" s="359"/>
      <c r="E62" s="248"/>
      <c r="F62" s="360">
        <v>0.01</v>
      </c>
      <c r="G62" s="248"/>
      <c r="H62" s="224">
        <f t="shared" si="0"/>
        <v>88.542299999999997</v>
      </c>
      <c r="I62" s="334"/>
      <c r="AMD62"/>
    </row>
    <row r="63" spans="2:1018" x14ac:dyDescent="0.25">
      <c r="B63" s="222" t="s">
        <v>234</v>
      </c>
      <c r="C63" s="361" t="s">
        <v>285</v>
      </c>
      <c r="D63" s="359"/>
      <c r="E63" s="248"/>
      <c r="F63" s="360">
        <v>1.4999999999999999E-2</v>
      </c>
      <c r="G63" s="248"/>
      <c r="H63" s="224">
        <f t="shared" si="0"/>
        <v>132.81344999999999</v>
      </c>
      <c r="I63" s="334"/>
      <c r="AMD63"/>
    </row>
    <row r="64" spans="2:1018" x14ac:dyDescent="0.25">
      <c r="B64" s="222" t="s">
        <v>267</v>
      </c>
      <c r="C64" s="358" t="s">
        <v>286</v>
      </c>
      <c r="D64" s="359"/>
      <c r="E64" s="248"/>
      <c r="F64" s="360">
        <v>0.01</v>
      </c>
      <c r="G64" s="248"/>
      <c r="H64" s="224">
        <f t="shared" si="0"/>
        <v>88.542299999999997</v>
      </c>
      <c r="I64" s="334"/>
      <c r="AMD64"/>
    </row>
    <row r="65" spans="2:1018" x14ac:dyDescent="0.25">
      <c r="B65" s="222" t="s">
        <v>269</v>
      </c>
      <c r="C65" s="358" t="s">
        <v>64</v>
      </c>
      <c r="D65" s="359"/>
      <c r="E65" s="248"/>
      <c r="F65" s="360">
        <v>6.0000000000000001E-3</v>
      </c>
      <c r="G65" s="248"/>
      <c r="H65" s="224">
        <f t="shared" si="0"/>
        <v>53.12538</v>
      </c>
      <c r="I65" s="334"/>
      <c r="AMD65"/>
    </row>
    <row r="66" spans="2:1018" x14ac:dyDescent="0.25">
      <c r="B66" s="222" t="s">
        <v>270</v>
      </c>
      <c r="C66" s="358" t="s">
        <v>65</v>
      </c>
      <c r="D66" s="359"/>
      <c r="E66" s="248"/>
      <c r="F66" s="360">
        <v>2E-3</v>
      </c>
      <c r="G66" s="248"/>
      <c r="H66" s="224">
        <f t="shared" si="0"/>
        <v>17.708459999999999</v>
      </c>
      <c r="I66" s="334"/>
      <c r="AMD66"/>
    </row>
    <row r="67" spans="2:1018" x14ac:dyDescent="0.25">
      <c r="B67" s="222" t="s">
        <v>287</v>
      </c>
      <c r="C67" s="358" t="s">
        <v>66</v>
      </c>
      <c r="D67" s="359"/>
      <c r="E67" s="248"/>
      <c r="F67" s="360">
        <v>0.08</v>
      </c>
      <c r="G67" s="248"/>
      <c r="H67" s="224">
        <f t="shared" si="0"/>
        <v>708.33839999999998</v>
      </c>
      <c r="I67" s="334"/>
      <c r="AMD67"/>
    </row>
    <row r="68" spans="2:1018" ht="24" customHeight="1" x14ac:dyDescent="0.25">
      <c r="B68" s="362" t="s">
        <v>288</v>
      </c>
      <c r="C68" s="343"/>
      <c r="D68" s="363"/>
      <c r="E68" s="364"/>
      <c r="F68" s="365">
        <f>SUM(F60:F67)</f>
        <v>0.34800000000000003</v>
      </c>
      <c r="G68" s="249"/>
      <c r="H68" s="246">
        <f>ROUND(SUM(H60:H67),2)</f>
        <v>3081.27</v>
      </c>
      <c r="I68" s="349"/>
      <c r="AMD68"/>
    </row>
    <row r="71" spans="2:1018" x14ac:dyDescent="0.25">
      <c r="B71" s="352" t="s">
        <v>289</v>
      </c>
      <c r="C71" s="245"/>
      <c r="D71" s="245"/>
      <c r="E71" s="245"/>
      <c r="F71" s="245"/>
      <c r="G71" s="245"/>
      <c r="H71" s="245"/>
      <c r="I71" s="46"/>
    </row>
    <row r="73" spans="2:1018" x14ac:dyDescent="0.25">
      <c r="C73" s="256"/>
      <c r="D73" s="256"/>
      <c r="E73" s="88"/>
      <c r="F73" s="88"/>
      <c r="G73" s="88"/>
      <c r="H73" s="239" t="str">
        <f>H58</f>
        <v>Médico</v>
      </c>
      <c r="I73" s="332"/>
    </row>
    <row r="74" spans="2:1018" ht="16.5" customHeight="1" x14ac:dyDescent="0.25">
      <c r="B74" s="227" t="s">
        <v>290</v>
      </c>
      <c r="C74" s="342" t="s">
        <v>291</v>
      </c>
      <c r="D74" s="343"/>
      <c r="E74" s="343"/>
      <c r="F74" s="343"/>
      <c r="G74" s="221"/>
      <c r="H74" s="250" t="s">
        <v>263</v>
      </c>
      <c r="I74" s="366"/>
      <c r="J74" s="214"/>
    </row>
    <row r="75" spans="2:1018" ht="16.5" customHeight="1" x14ac:dyDescent="0.25">
      <c r="B75" s="222" t="s">
        <v>227</v>
      </c>
      <c r="C75" s="344" t="s">
        <v>292</v>
      </c>
      <c r="D75" s="317"/>
      <c r="E75" s="317"/>
      <c r="F75" s="317"/>
      <c r="G75" s="305"/>
      <c r="H75" s="251" t="str">
        <f>IF((4.2*2*22)-H35*0.06&lt;0,"0",(4.2*2*22)-H35*0.06)</f>
        <v>0</v>
      </c>
      <c r="I75" s="367"/>
      <c r="J75" s="214"/>
    </row>
    <row r="76" spans="2:1018" ht="16.5" customHeight="1" x14ac:dyDescent="0.25">
      <c r="B76" s="222" t="s">
        <v>229</v>
      </c>
      <c r="C76" s="344" t="s">
        <v>293</v>
      </c>
      <c r="D76" s="317"/>
      <c r="E76" s="317"/>
      <c r="F76" s="317"/>
      <c r="G76" s="305"/>
      <c r="H76" s="251"/>
      <c r="I76" s="367"/>
      <c r="J76" s="214"/>
    </row>
    <row r="77" spans="2:1018" ht="16.5" customHeight="1" x14ac:dyDescent="0.25">
      <c r="B77" s="222" t="s">
        <v>232</v>
      </c>
      <c r="C77" s="344" t="s">
        <v>380</v>
      </c>
      <c r="D77" s="317"/>
      <c r="E77" s="317"/>
      <c r="F77" s="317"/>
      <c r="G77" s="305"/>
      <c r="H77" s="251"/>
      <c r="I77" s="367"/>
      <c r="J77" s="214"/>
    </row>
    <row r="78" spans="2:1018" ht="16.5" customHeight="1" x14ac:dyDescent="0.25">
      <c r="B78" s="222" t="s">
        <v>234</v>
      </c>
      <c r="C78" s="344" t="s">
        <v>381</v>
      </c>
      <c r="D78" s="317"/>
      <c r="E78" s="317"/>
      <c r="F78" s="317"/>
      <c r="G78" s="305"/>
      <c r="H78" s="251"/>
      <c r="I78" s="367"/>
      <c r="J78" s="214"/>
    </row>
    <row r="79" spans="2:1018" hidden="1" x14ac:dyDescent="0.25">
      <c r="B79" s="222" t="s">
        <v>267</v>
      </c>
      <c r="C79" s="304"/>
      <c r="D79" s="304"/>
      <c r="E79" s="251"/>
      <c r="F79" s="251"/>
      <c r="G79" s="251"/>
      <c r="H79" s="251"/>
      <c r="I79" s="367"/>
      <c r="J79" s="214"/>
    </row>
    <row r="80" spans="2:1018" hidden="1" x14ac:dyDescent="0.25">
      <c r="B80" s="222" t="s">
        <v>269</v>
      </c>
      <c r="C80" s="304"/>
      <c r="D80" s="304"/>
      <c r="E80" s="251"/>
      <c r="F80" s="251"/>
      <c r="G80" s="251"/>
      <c r="H80" s="251"/>
      <c r="I80" s="367"/>
      <c r="J80" s="214"/>
      <c r="K80" s="214"/>
      <c r="L80" s="214"/>
      <c r="M80" s="214"/>
      <c r="N80" s="214"/>
      <c r="O80" s="214"/>
    </row>
    <row r="81" spans="2:15" hidden="1" x14ac:dyDescent="0.25">
      <c r="B81" s="222" t="s">
        <v>270</v>
      </c>
      <c r="C81" s="304"/>
      <c r="D81" s="304"/>
      <c r="E81" s="251"/>
      <c r="F81" s="251"/>
      <c r="G81" s="251"/>
      <c r="H81" s="251"/>
      <c r="I81" s="367"/>
      <c r="J81" s="214"/>
      <c r="K81" s="214"/>
      <c r="L81" s="214"/>
      <c r="M81" s="214"/>
      <c r="N81" s="214"/>
      <c r="O81" s="214"/>
    </row>
    <row r="82" spans="2:15" hidden="1" x14ac:dyDescent="0.25">
      <c r="B82" s="222" t="s">
        <v>287</v>
      </c>
      <c r="C82" s="304"/>
      <c r="D82" s="304"/>
      <c r="E82" s="251"/>
      <c r="F82" s="251"/>
      <c r="G82" s="251"/>
      <c r="H82" s="251"/>
      <c r="I82" s="367"/>
      <c r="J82" s="214"/>
      <c r="K82" s="214"/>
      <c r="L82" s="214"/>
      <c r="M82" s="214"/>
      <c r="N82" s="214"/>
      <c r="O82" s="214"/>
    </row>
    <row r="83" spans="2:15" ht="16.5" customHeight="1" x14ac:dyDescent="0.25">
      <c r="B83" s="325" t="s">
        <v>44</v>
      </c>
      <c r="C83" s="353"/>
      <c r="D83" s="353"/>
      <c r="E83" s="354"/>
      <c r="F83" s="354"/>
      <c r="G83" s="355"/>
      <c r="H83" s="263">
        <f>ROUND(SUM(H75:H78),2)</f>
        <v>0</v>
      </c>
      <c r="I83" s="368"/>
      <c r="J83" s="214"/>
      <c r="K83" s="214"/>
      <c r="L83" s="214"/>
      <c r="M83" s="214"/>
      <c r="N83" s="214"/>
      <c r="O83" s="214"/>
    </row>
    <row r="84" spans="2:15" x14ac:dyDescent="0.25">
      <c r="J84" s="214"/>
      <c r="K84" s="214"/>
      <c r="L84" s="214"/>
      <c r="M84" s="214"/>
      <c r="N84" s="214"/>
    </row>
    <row r="85" spans="2:15" x14ac:dyDescent="0.25">
      <c r="J85" s="214"/>
      <c r="K85" s="214"/>
      <c r="L85" s="214"/>
      <c r="M85" s="214"/>
      <c r="N85" s="214"/>
    </row>
    <row r="86" spans="2:15" x14ac:dyDescent="0.25">
      <c r="B86" s="352" t="s">
        <v>301</v>
      </c>
      <c r="C86" s="245"/>
      <c r="D86" s="245"/>
      <c r="E86" s="245"/>
      <c r="F86" s="245"/>
      <c r="G86" s="245"/>
      <c r="H86" s="245"/>
      <c r="I86" s="46"/>
      <c r="J86" s="214"/>
      <c r="K86" s="214"/>
      <c r="L86" s="214"/>
      <c r="M86" s="214"/>
      <c r="N86" s="214"/>
    </row>
    <row r="87" spans="2:15" x14ac:dyDescent="0.25">
      <c r="J87" s="214"/>
      <c r="K87" s="214"/>
      <c r="L87" s="214"/>
      <c r="M87" s="214"/>
      <c r="N87" s="214"/>
    </row>
    <row r="88" spans="2:15" x14ac:dyDescent="0.25">
      <c r="C88" s="256"/>
      <c r="D88" s="256"/>
      <c r="E88" s="88"/>
      <c r="F88" s="88"/>
      <c r="G88" s="88"/>
      <c r="H88" s="239" t="str">
        <f>H73</f>
        <v>Médico</v>
      </c>
      <c r="I88" s="332"/>
      <c r="J88" s="214"/>
      <c r="K88" s="214"/>
      <c r="L88" s="214"/>
      <c r="M88" s="214"/>
      <c r="N88" s="214"/>
    </row>
    <row r="89" spans="2:15" ht="16.5" customHeight="1" x14ac:dyDescent="0.25">
      <c r="B89" s="227">
        <v>2</v>
      </c>
      <c r="C89" s="342" t="s">
        <v>302</v>
      </c>
      <c r="D89" s="343"/>
      <c r="E89" s="343"/>
      <c r="F89" s="343"/>
      <c r="G89" s="221"/>
      <c r="H89" s="221" t="s">
        <v>263</v>
      </c>
      <c r="I89" s="88"/>
      <c r="J89" s="214"/>
      <c r="K89" s="214"/>
      <c r="L89" s="214"/>
      <c r="M89" s="214"/>
      <c r="N89" s="214"/>
      <c r="O89" s="214"/>
    </row>
    <row r="90" spans="2:15" ht="21" customHeight="1" x14ac:dyDescent="0.25">
      <c r="B90" s="222" t="s">
        <v>274</v>
      </c>
      <c r="C90" s="344" t="s">
        <v>275</v>
      </c>
      <c r="D90" s="317"/>
      <c r="E90" s="317"/>
      <c r="F90" s="317"/>
      <c r="G90" s="305"/>
      <c r="H90" s="224">
        <f>H53</f>
        <v>1502.05</v>
      </c>
      <c r="I90" s="334"/>
      <c r="J90" s="214"/>
      <c r="K90" s="214"/>
      <c r="L90" s="214"/>
      <c r="M90" s="214"/>
      <c r="N90" s="214"/>
      <c r="O90" s="214"/>
    </row>
    <row r="91" spans="2:15" ht="16.5" customHeight="1" x14ac:dyDescent="0.25">
      <c r="B91" s="222" t="s">
        <v>279</v>
      </c>
      <c r="C91" s="344" t="s">
        <v>280</v>
      </c>
      <c r="D91" s="317"/>
      <c r="E91" s="317"/>
      <c r="F91" s="317"/>
      <c r="G91" s="305"/>
      <c r="H91" s="224">
        <f>H68</f>
        <v>3081.27</v>
      </c>
      <c r="I91" s="334"/>
      <c r="J91" s="214"/>
      <c r="K91" s="214"/>
      <c r="L91" s="214"/>
      <c r="M91" s="214"/>
      <c r="N91" s="214"/>
      <c r="O91" s="214"/>
    </row>
    <row r="92" spans="2:15" ht="16.5" customHeight="1" x14ac:dyDescent="0.25">
      <c r="B92" s="222" t="s">
        <v>290</v>
      </c>
      <c r="C92" s="344" t="s">
        <v>291</v>
      </c>
      <c r="D92" s="317"/>
      <c r="E92" s="317"/>
      <c r="F92" s="317"/>
      <c r="G92" s="305"/>
      <c r="H92" s="224">
        <f>H83</f>
        <v>0</v>
      </c>
      <c r="I92" s="334"/>
      <c r="J92" s="214"/>
      <c r="K92" s="214"/>
      <c r="L92" s="214"/>
      <c r="M92" s="214"/>
      <c r="N92" s="214"/>
      <c r="O92" s="214"/>
    </row>
    <row r="93" spans="2:15" ht="16.5" customHeight="1" x14ac:dyDescent="0.25">
      <c r="B93" s="345" t="s">
        <v>44</v>
      </c>
      <c r="C93" s="346"/>
      <c r="D93" s="346"/>
      <c r="E93" s="347"/>
      <c r="F93" s="347"/>
      <c r="G93" s="348"/>
      <c r="H93" s="243">
        <f>ROUND(SUM(H90:H92),2)</f>
        <v>4583.32</v>
      </c>
      <c r="I93" s="349"/>
      <c r="J93" s="214"/>
      <c r="K93" s="214"/>
      <c r="L93" s="214"/>
      <c r="M93" s="214"/>
      <c r="N93" s="214"/>
      <c r="O93" s="214"/>
    </row>
    <row r="94" spans="2:15" x14ac:dyDescent="0.25">
      <c r="B94" s="89"/>
      <c r="J94" s="214"/>
      <c r="K94" s="214"/>
      <c r="L94" s="214"/>
      <c r="M94" s="214"/>
      <c r="N94" s="214"/>
    </row>
    <row r="95" spans="2:15" x14ac:dyDescent="0.25">
      <c r="J95" s="214"/>
      <c r="K95" s="214"/>
      <c r="L95" s="214"/>
      <c r="M95" s="214"/>
      <c r="N95" s="214"/>
    </row>
    <row r="96" spans="2:15" x14ac:dyDescent="0.25">
      <c r="B96" s="369" t="s">
        <v>303</v>
      </c>
      <c r="C96" s="255"/>
      <c r="D96" s="255"/>
      <c r="E96" s="255"/>
      <c r="F96" s="255"/>
      <c r="G96" s="255"/>
      <c r="H96" s="255"/>
      <c r="I96" s="370"/>
      <c r="J96" s="214"/>
      <c r="K96" s="214"/>
      <c r="L96" s="214"/>
      <c r="M96" s="214"/>
      <c r="N96" s="214"/>
    </row>
    <row r="97" spans="2:15" x14ac:dyDescent="0.25">
      <c r="B97" s="256"/>
      <c r="C97" s="256"/>
      <c r="D97" s="256"/>
      <c r="E97" s="256"/>
      <c r="F97" s="256"/>
      <c r="G97" s="256"/>
      <c r="J97" s="214"/>
      <c r="K97" s="214"/>
      <c r="L97" s="214"/>
      <c r="M97" s="214"/>
      <c r="N97" s="214"/>
    </row>
    <row r="98" spans="2:15" x14ac:dyDescent="0.25">
      <c r="B98" s="256"/>
      <c r="C98" s="256"/>
      <c r="D98" s="256"/>
      <c r="E98" s="88"/>
      <c r="F98" s="88"/>
      <c r="G98" s="88"/>
      <c r="H98" s="239" t="str">
        <f>H88</f>
        <v>Médico</v>
      </c>
      <c r="I98" s="332"/>
      <c r="J98" s="214"/>
      <c r="K98" s="214"/>
      <c r="L98" s="214"/>
      <c r="M98" s="214"/>
      <c r="N98" s="214"/>
    </row>
    <row r="99" spans="2:15" ht="16.5" customHeight="1" x14ac:dyDescent="0.25">
      <c r="B99" s="257">
        <v>3</v>
      </c>
      <c r="C99" s="342" t="s">
        <v>304</v>
      </c>
      <c r="D99" s="343"/>
      <c r="E99" s="343"/>
      <c r="F99" s="343"/>
      <c r="G99" s="221"/>
      <c r="H99" s="250" t="s">
        <v>263</v>
      </c>
      <c r="I99" s="366"/>
      <c r="J99" s="214"/>
      <c r="K99" s="214"/>
      <c r="L99" s="214"/>
      <c r="M99" s="214"/>
      <c r="N99" s="214"/>
      <c r="O99" s="214"/>
    </row>
    <row r="100" spans="2:15" ht="16.5" customHeight="1" x14ac:dyDescent="0.25">
      <c r="B100" s="258" t="s">
        <v>227</v>
      </c>
      <c r="C100" s="344" t="s">
        <v>305</v>
      </c>
      <c r="D100" s="317"/>
      <c r="E100" s="317"/>
      <c r="F100" s="317"/>
      <c r="G100" s="305"/>
      <c r="H100" s="251">
        <f>(H42/12)*0.05</f>
        <v>30.634083333333336</v>
      </c>
      <c r="I100" s="367"/>
      <c r="J100" s="214"/>
      <c r="K100" s="214"/>
      <c r="L100" s="214"/>
      <c r="M100" s="214"/>
      <c r="N100" s="214"/>
      <c r="O100" s="214"/>
    </row>
    <row r="101" spans="2:15" ht="16.5" customHeight="1" x14ac:dyDescent="0.25">
      <c r="B101" s="258" t="s">
        <v>229</v>
      </c>
      <c r="C101" s="344" t="s">
        <v>306</v>
      </c>
      <c r="D101" s="317"/>
      <c r="E101" s="317"/>
      <c r="F101" s="317"/>
      <c r="G101" s="305"/>
      <c r="H101" s="251">
        <f>H100*8%</f>
        <v>2.4507266666666672</v>
      </c>
      <c r="I101" s="367"/>
      <c r="J101" s="214"/>
      <c r="K101" s="214"/>
      <c r="L101" s="214"/>
      <c r="M101" s="214"/>
      <c r="N101" s="214"/>
      <c r="O101" s="214"/>
    </row>
    <row r="102" spans="2:15" ht="30.75" customHeight="1" x14ac:dyDescent="0.25">
      <c r="B102" s="258" t="s">
        <v>232</v>
      </c>
      <c r="C102" s="344" t="s">
        <v>382</v>
      </c>
      <c r="D102" s="317"/>
      <c r="E102" s="317"/>
      <c r="F102" s="317"/>
      <c r="G102" s="305"/>
      <c r="H102" s="261"/>
      <c r="I102" s="371"/>
      <c r="J102" s="214"/>
      <c r="K102" s="214"/>
      <c r="L102" s="214"/>
      <c r="M102" s="214"/>
      <c r="N102" s="214"/>
      <c r="O102" s="214"/>
    </row>
    <row r="103" spans="2:15" ht="28.5" customHeight="1" x14ac:dyDescent="0.25">
      <c r="B103" s="258" t="s">
        <v>234</v>
      </c>
      <c r="C103" s="344" t="s">
        <v>308</v>
      </c>
      <c r="D103" s="317"/>
      <c r="E103" s="317"/>
      <c r="F103" s="317"/>
      <c r="G103" s="305"/>
      <c r="H103" s="251">
        <f>(((H42/30)/12)*7)*95%</f>
        <v>135.81110277777776</v>
      </c>
      <c r="I103" s="367"/>
      <c r="J103" s="214"/>
      <c r="K103" s="214"/>
      <c r="L103" s="214"/>
      <c r="M103" s="214"/>
      <c r="N103" s="214"/>
      <c r="O103" s="214"/>
    </row>
    <row r="104" spans="2:15" ht="30.75" customHeight="1" x14ac:dyDescent="0.25">
      <c r="B104" s="372" t="s">
        <v>267</v>
      </c>
      <c r="C104" s="373" t="s">
        <v>309</v>
      </c>
      <c r="D104" s="317"/>
      <c r="E104" s="317"/>
      <c r="F104" s="317"/>
      <c r="G104" s="305"/>
      <c r="H104" s="263">
        <f>H103*$F$68</f>
        <v>47.262263766666663</v>
      </c>
      <c r="I104" s="367"/>
      <c r="J104" s="214"/>
      <c r="K104" s="214"/>
      <c r="L104" s="214"/>
      <c r="M104" s="214"/>
      <c r="N104" s="214"/>
      <c r="O104" s="214"/>
    </row>
    <row r="105" spans="2:15" ht="30.75" customHeight="1" x14ac:dyDescent="0.25">
      <c r="B105" s="258" t="s">
        <v>269</v>
      </c>
      <c r="C105" s="344" t="s">
        <v>383</v>
      </c>
      <c r="D105" s="317"/>
      <c r="E105" s="317"/>
      <c r="F105" s="317"/>
      <c r="G105" s="305"/>
      <c r="H105" s="251">
        <f>4%*H42</f>
        <v>294.0872</v>
      </c>
      <c r="I105" s="367"/>
      <c r="J105" s="214"/>
      <c r="K105" s="214"/>
      <c r="L105" s="214"/>
      <c r="M105" s="214"/>
      <c r="N105" s="214"/>
      <c r="O105" s="214"/>
    </row>
    <row r="106" spans="2:15" ht="16.5" customHeight="1" x14ac:dyDescent="0.25">
      <c r="B106" s="345" t="s">
        <v>44</v>
      </c>
      <c r="C106" s="346"/>
      <c r="D106" s="346"/>
      <c r="E106" s="347"/>
      <c r="F106" s="347"/>
      <c r="G106" s="348"/>
      <c r="H106" s="253">
        <f>ROUND(SUM(H100:H105),2)</f>
        <v>510.25</v>
      </c>
      <c r="I106" s="368"/>
      <c r="J106" s="214"/>
      <c r="K106" s="214"/>
      <c r="L106" s="214"/>
      <c r="M106" s="214"/>
      <c r="N106" s="214"/>
      <c r="O106" s="214"/>
    </row>
    <row r="107" spans="2:15" x14ac:dyDescent="0.25">
      <c r="J107" s="214"/>
      <c r="K107" s="214"/>
      <c r="L107" s="214"/>
      <c r="M107" s="214"/>
      <c r="N107" s="214"/>
    </row>
    <row r="108" spans="2:15" x14ac:dyDescent="0.25">
      <c r="B108" s="369" t="s">
        <v>311</v>
      </c>
      <c r="C108" s="255"/>
      <c r="D108" s="255"/>
      <c r="E108" s="255"/>
      <c r="F108" s="255"/>
      <c r="G108" s="255"/>
      <c r="H108" s="255"/>
      <c r="I108" s="370"/>
      <c r="J108" s="214"/>
      <c r="K108" s="214"/>
      <c r="L108" s="214"/>
      <c r="M108" s="214"/>
      <c r="N108" s="214"/>
    </row>
    <row r="109" spans="2:15" x14ac:dyDescent="0.25">
      <c r="B109" s="374"/>
      <c r="C109" s="256"/>
      <c r="D109" s="256"/>
      <c r="E109" s="256"/>
      <c r="F109" s="256"/>
      <c r="G109" s="256"/>
      <c r="H109" s="264"/>
      <c r="I109" s="264"/>
      <c r="J109" s="214"/>
      <c r="K109" s="214"/>
      <c r="L109" s="214"/>
      <c r="M109" s="214"/>
      <c r="N109" s="214"/>
    </row>
    <row r="110" spans="2:15" x14ac:dyDescent="0.25">
      <c r="B110" s="375" t="s">
        <v>313</v>
      </c>
      <c r="C110" s="265"/>
      <c r="D110" s="265"/>
      <c r="E110" s="265"/>
      <c r="F110" s="265"/>
      <c r="G110" s="265"/>
      <c r="H110" s="265"/>
      <c r="I110" s="157"/>
      <c r="J110" s="214"/>
      <c r="K110" s="214"/>
      <c r="L110" s="214"/>
      <c r="M110" s="214"/>
      <c r="N110" s="214"/>
    </row>
    <row r="111" spans="2:15" x14ac:dyDescent="0.25">
      <c r="B111" s="266"/>
      <c r="C111" s="267"/>
      <c r="D111" s="267"/>
      <c r="E111" s="256"/>
      <c r="F111" s="256"/>
      <c r="G111" s="256"/>
      <c r="H111" s="264"/>
      <c r="I111" s="264"/>
      <c r="J111" s="214"/>
      <c r="K111" s="214"/>
      <c r="L111" s="214"/>
      <c r="M111" s="214"/>
      <c r="N111" s="214"/>
    </row>
    <row r="112" spans="2:15" x14ac:dyDescent="0.25">
      <c r="B112" s="266"/>
      <c r="C112" s="256"/>
      <c r="D112" s="256"/>
      <c r="E112" s="88"/>
      <c r="F112" s="88"/>
      <c r="G112" s="88"/>
      <c r="H112" s="239" t="str">
        <f>H98</f>
        <v>Médico</v>
      </c>
      <c r="I112" s="332"/>
      <c r="J112" s="214"/>
      <c r="K112" s="214"/>
      <c r="L112" s="214"/>
      <c r="M112" s="214"/>
      <c r="N112" s="214"/>
    </row>
    <row r="113" spans="2:15" ht="16.5" customHeight="1" x14ac:dyDescent="0.25">
      <c r="B113" s="257" t="s">
        <v>314</v>
      </c>
      <c r="C113" s="342" t="s">
        <v>315</v>
      </c>
      <c r="D113" s="343"/>
      <c r="E113" s="343"/>
      <c r="F113" s="343"/>
      <c r="G113" s="221"/>
      <c r="H113" s="250" t="s">
        <v>263</v>
      </c>
      <c r="I113" s="366"/>
      <c r="J113" s="214"/>
      <c r="K113" s="214"/>
      <c r="L113" s="214"/>
      <c r="M113" s="214"/>
      <c r="N113" s="214"/>
      <c r="O113" s="214"/>
    </row>
    <row r="114" spans="2:15" ht="16.5" customHeight="1" x14ac:dyDescent="0.25">
      <c r="B114" s="258" t="s">
        <v>227</v>
      </c>
      <c r="C114" s="344" t="s">
        <v>384</v>
      </c>
      <c r="D114" s="317"/>
      <c r="E114" s="317"/>
      <c r="F114" s="317"/>
      <c r="G114" s="305"/>
      <c r="H114" s="251"/>
      <c r="I114" s="367"/>
      <c r="J114" s="214"/>
      <c r="K114" s="214"/>
      <c r="L114" s="214"/>
      <c r="M114" s="214"/>
      <c r="N114" s="214"/>
      <c r="O114" s="214"/>
    </row>
    <row r="115" spans="2:15" ht="16.5" customHeight="1" x14ac:dyDescent="0.25">
      <c r="B115" s="258" t="s">
        <v>229</v>
      </c>
      <c r="C115" s="344" t="s">
        <v>385</v>
      </c>
      <c r="D115" s="317"/>
      <c r="E115" s="317"/>
      <c r="F115" s="317"/>
      <c r="G115" s="305"/>
      <c r="H115" s="251">
        <f>0.28%*H42</f>
        <v>20.586104000000002</v>
      </c>
      <c r="I115" s="367"/>
      <c r="J115" s="214"/>
      <c r="K115" s="214"/>
      <c r="L115" s="214"/>
      <c r="M115" s="214"/>
      <c r="N115" s="214"/>
      <c r="O115" s="214"/>
    </row>
    <row r="116" spans="2:15" ht="16.5" customHeight="1" x14ac:dyDescent="0.25">
      <c r="B116" s="258" t="s">
        <v>232</v>
      </c>
      <c r="C116" s="344" t="s">
        <v>386</v>
      </c>
      <c r="D116" s="317"/>
      <c r="E116" s="317"/>
      <c r="F116" s="317"/>
      <c r="G116" s="305"/>
      <c r="H116" s="251">
        <f>0.02%*H42</f>
        <v>1.4704360000000001</v>
      </c>
      <c r="I116" s="367"/>
      <c r="J116" s="214"/>
      <c r="K116" s="214"/>
      <c r="L116" s="214"/>
      <c r="M116" s="214"/>
      <c r="N116" s="214"/>
      <c r="O116" s="214"/>
    </row>
    <row r="117" spans="2:15" ht="16.5" customHeight="1" x14ac:dyDescent="0.25">
      <c r="B117" s="258" t="s">
        <v>234</v>
      </c>
      <c r="C117" s="344" t="s">
        <v>387</v>
      </c>
      <c r="D117" s="317"/>
      <c r="E117" s="317"/>
      <c r="F117" s="317"/>
      <c r="G117" s="305"/>
      <c r="H117" s="251">
        <f>0.03%*H42</f>
        <v>2.205654</v>
      </c>
      <c r="I117" s="367"/>
      <c r="J117" s="214"/>
      <c r="K117" s="214"/>
      <c r="L117" s="214"/>
      <c r="M117" s="214"/>
      <c r="N117" s="214"/>
      <c r="O117" s="214"/>
    </row>
    <row r="118" spans="2:15" ht="16.5" customHeight="1" x14ac:dyDescent="0.25">
      <c r="B118" s="258" t="s">
        <v>267</v>
      </c>
      <c r="C118" s="344" t="s">
        <v>388</v>
      </c>
      <c r="D118" s="317"/>
      <c r="E118" s="317"/>
      <c r="F118" s="317"/>
      <c r="G118" s="305"/>
      <c r="H118" s="251"/>
      <c r="I118" s="367"/>
      <c r="J118" s="214"/>
      <c r="K118" s="214"/>
      <c r="L118" s="214"/>
      <c r="M118" s="214"/>
      <c r="N118" s="214"/>
      <c r="O118" s="214"/>
    </row>
    <row r="119" spans="2:15" ht="16.5" customHeight="1" x14ac:dyDescent="0.25">
      <c r="B119" s="258" t="s">
        <v>269</v>
      </c>
      <c r="C119" s="344" t="s">
        <v>389</v>
      </c>
      <c r="D119" s="317"/>
      <c r="E119" s="317"/>
      <c r="F119" s="317"/>
      <c r="G119" s="305"/>
      <c r="H119" s="251">
        <f>1.66%*H42</f>
        <v>122.046188</v>
      </c>
      <c r="I119" s="367"/>
      <c r="J119" s="214"/>
      <c r="K119" s="214"/>
      <c r="L119" s="214"/>
      <c r="M119" s="214"/>
      <c r="N119" s="214"/>
      <c r="O119" s="214"/>
    </row>
    <row r="120" spans="2:15" ht="16.5" customHeight="1" x14ac:dyDescent="0.25">
      <c r="B120" s="372" t="s">
        <v>270</v>
      </c>
      <c r="C120" s="373" t="s">
        <v>322</v>
      </c>
      <c r="D120" s="300"/>
      <c r="E120" s="300"/>
      <c r="F120" s="300"/>
      <c r="G120" s="301"/>
      <c r="H120" s="263">
        <f>SUM(H114:H119)*$F$68</f>
        <v>50.915316936000004</v>
      </c>
      <c r="I120" s="368"/>
      <c r="J120" s="214"/>
      <c r="K120" s="214"/>
      <c r="L120" s="214"/>
      <c r="M120" s="214"/>
      <c r="N120" s="214"/>
      <c r="O120" s="214"/>
    </row>
    <row r="121" spans="2:15" ht="16.5" customHeight="1" x14ac:dyDescent="0.25">
      <c r="B121" s="325" t="s">
        <v>288</v>
      </c>
      <c r="C121" s="353"/>
      <c r="D121" s="353"/>
      <c r="E121" s="354"/>
      <c r="F121" s="354"/>
      <c r="G121" s="355"/>
      <c r="H121" s="263">
        <f>ROUND(SUM(H114:H120),2)</f>
        <v>197.22</v>
      </c>
      <c r="I121" s="368"/>
      <c r="J121" s="214"/>
      <c r="K121" s="214"/>
      <c r="L121" s="214"/>
      <c r="M121" s="214"/>
      <c r="N121" s="214"/>
      <c r="O121" s="214"/>
    </row>
    <row r="122" spans="2:15" x14ac:dyDescent="0.25">
      <c r="H122" s="264"/>
      <c r="I122" s="264"/>
      <c r="J122" s="214"/>
      <c r="K122" s="214"/>
      <c r="L122" s="214"/>
      <c r="M122" s="214"/>
      <c r="N122" s="214"/>
    </row>
    <row r="123" spans="2:15" x14ac:dyDescent="0.25">
      <c r="B123" s="375" t="s">
        <v>390</v>
      </c>
      <c r="C123" s="265"/>
      <c r="D123" s="265"/>
      <c r="E123" s="265"/>
      <c r="F123" s="265"/>
      <c r="G123" s="265"/>
      <c r="H123" s="265"/>
      <c r="I123" s="157"/>
      <c r="J123" s="214"/>
      <c r="K123" s="214"/>
      <c r="L123" s="214"/>
      <c r="M123" s="214"/>
      <c r="N123" s="214"/>
    </row>
    <row r="124" spans="2:15" x14ac:dyDescent="0.25">
      <c r="B124" s="266"/>
      <c r="C124" s="256"/>
      <c r="D124" s="256"/>
      <c r="E124" s="256"/>
      <c r="F124" s="256"/>
      <c r="G124" s="256"/>
      <c r="J124" s="214"/>
      <c r="K124" s="214"/>
      <c r="L124" s="214"/>
      <c r="M124" s="214"/>
      <c r="N124" s="214"/>
    </row>
    <row r="125" spans="2:15" x14ac:dyDescent="0.25">
      <c r="B125" s="266"/>
      <c r="C125" s="256"/>
      <c r="D125" s="256"/>
      <c r="E125" s="88"/>
      <c r="F125" s="88"/>
      <c r="G125" s="88"/>
      <c r="H125" s="239" t="str">
        <f>H112</f>
        <v>Médico</v>
      </c>
      <c r="I125" s="332"/>
      <c r="J125" s="214"/>
      <c r="K125" s="214"/>
      <c r="L125" s="214"/>
      <c r="M125" s="214"/>
      <c r="N125" s="214"/>
    </row>
    <row r="126" spans="2:15" ht="16.5" customHeight="1" x14ac:dyDescent="0.25">
      <c r="B126" s="257" t="s">
        <v>324</v>
      </c>
      <c r="C126" s="342" t="s">
        <v>391</v>
      </c>
      <c r="D126" s="343"/>
      <c r="E126" s="343"/>
      <c r="F126" s="343"/>
      <c r="G126" s="221"/>
      <c r="H126" s="250" t="s">
        <v>263</v>
      </c>
      <c r="I126" s="366"/>
      <c r="J126" s="214"/>
      <c r="K126" s="214"/>
      <c r="L126" s="214"/>
      <c r="M126" s="214"/>
      <c r="N126" s="214"/>
    </row>
    <row r="127" spans="2:15" ht="16.5" customHeight="1" x14ac:dyDescent="0.25">
      <c r="B127" s="258" t="s">
        <v>227</v>
      </c>
      <c r="C127" s="344" t="s">
        <v>392</v>
      </c>
      <c r="D127" s="317"/>
      <c r="E127" s="317"/>
      <c r="F127" s="317"/>
      <c r="G127" s="305"/>
      <c r="H127" s="224">
        <f>(((H42+H42/3)*(4/12))/12)*0.57%</f>
        <v>1.5521268888888886</v>
      </c>
      <c r="I127" s="366"/>
      <c r="J127" s="214"/>
      <c r="K127" s="214"/>
      <c r="L127" s="214"/>
      <c r="M127" s="214"/>
      <c r="N127" s="214"/>
    </row>
    <row r="128" spans="2:15" ht="32.25" customHeight="1" x14ac:dyDescent="0.25">
      <c r="B128" s="372" t="s">
        <v>229</v>
      </c>
      <c r="C128" s="344" t="s">
        <v>393</v>
      </c>
      <c r="D128" s="317"/>
      <c r="E128" s="317"/>
      <c r="F128" s="317"/>
      <c r="G128" s="305"/>
      <c r="H128" s="263">
        <f>H127*F68</f>
        <v>0.54014015733333332</v>
      </c>
      <c r="I128" s="366"/>
      <c r="J128" s="214"/>
      <c r="K128" s="214"/>
      <c r="L128" s="214"/>
      <c r="M128" s="214"/>
      <c r="N128" s="214"/>
    </row>
    <row r="129" spans="2:15" ht="36" customHeight="1" x14ac:dyDescent="0.25">
      <c r="B129" s="372" t="s">
        <v>232</v>
      </c>
      <c r="C129" s="501" t="s">
        <v>394</v>
      </c>
      <c r="D129" s="501"/>
      <c r="E129" s="501"/>
      <c r="F129" s="501"/>
      <c r="G129" s="501"/>
      <c r="H129" s="263">
        <f>(((H42+H51)*(4/12))*0.57%)*F68</f>
        <v>5.2662044919527995</v>
      </c>
      <c r="I129" s="371"/>
      <c r="J129" s="214"/>
      <c r="K129" s="214"/>
      <c r="L129" s="214"/>
      <c r="M129" s="214"/>
      <c r="N129" s="214"/>
    </row>
    <row r="130" spans="2:15" ht="16.5" customHeight="1" x14ac:dyDescent="0.25">
      <c r="B130" s="325" t="s">
        <v>44</v>
      </c>
      <c r="C130" s="353"/>
      <c r="D130" s="353"/>
      <c r="E130" s="354"/>
      <c r="F130" s="354"/>
      <c r="G130" s="355"/>
      <c r="H130" s="224">
        <f>ROUND(SUM(H127:H129),2)</f>
        <v>7.36</v>
      </c>
      <c r="I130" s="371"/>
      <c r="J130" s="214"/>
      <c r="K130" s="214"/>
      <c r="L130" s="214"/>
      <c r="M130" s="214"/>
      <c r="N130" s="214"/>
    </row>
    <row r="131" spans="2:15" x14ac:dyDescent="0.25">
      <c r="H131" s="264"/>
      <c r="I131" s="264"/>
      <c r="J131" s="214"/>
      <c r="K131" s="214"/>
      <c r="L131" s="214"/>
      <c r="M131" s="214"/>
      <c r="N131" s="214"/>
    </row>
    <row r="132" spans="2:15" x14ac:dyDescent="0.25">
      <c r="H132" s="264"/>
      <c r="I132" s="264"/>
      <c r="J132" s="214"/>
      <c r="K132" s="214"/>
      <c r="L132" s="214"/>
      <c r="M132" s="214"/>
      <c r="N132" s="214"/>
    </row>
    <row r="133" spans="2:15" x14ac:dyDescent="0.25">
      <c r="H133" s="264"/>
      <c r="I133" s="264"/>
      <c r="J133" s="214"/>
      <c r="K133" s="214"/>
      <c r="L133" s="214"/>
      <c r="M133" s="214"/>
      <c r="N133" s="214"/>
    </row>
    <row r="134" spans="2:15" x14ac:dyDescent="0.25">
      <c r="B134" s="375" t="s">
        <v>323</v>
      </c>
      <c r="C134" s="265"/>
      <c r="D134" s="265"/>
      <c r="E134" s="265"/>
      <c r="F134" s="265"/>
      <c r="G134" s="265"/>
      <c r="H134" s="265"/>
      <c r="I134" s="157"/>
      <c r="J134" s="214"/>
      <c r="K134" s="214"/>
      <c r="L134" s="214"/>
      <c r="M134" s="214"/>
      <c r="N134" s="214"/>
    </row>
    <row r="135" spans="2:15" x14ac:dyDescent="0.25">
      <c r="B135" s="266"/>
      <c r="C135" s="256"/>
      <c r="D135" s="256"/>
      <c r="E135" s="256"/>
      <c r="F135" s="256"/>
      <c r="G135" s="256"/>
      <c r="J135" s="214"/>
      <c r="K135" s="214"/>
      <c r="L135" s="214"/>
      <c r="M135" s="214"/>
      <c r="N135" s="214"/>
    </row>
    <row r="136" spans="2:15" x14ac:dyDescent="0.25">
      <c r="B136" s="266"/>
      <c r="C136" s="256"/>
      <c r="D136" s="256"/>
      <c r="E136" s="88"/>
      <c r="F136" s="88"/>
      <c r="G136" s="88"/>
      <c r="H136" s="239" t="str">
        <f>H112</f>
        <v>Médico</v>
      </c>
      <c r="I136" s="332"/>
      <c r="J136" s="214"/>
      <c r="K136" s="214"/>
      <c r="L136" s="214"/>
      <c r="M136" s="214"/>
      <c r="N136" s="214"/>
    </row>
    <row r="137" spans="2:15" ht="16.5" customHeight="1" x14ac:dyDescent="0.25">
      <c r="B137" s="257" t="s">
        <v>324</v>
      </c>
      <c r="C137" s="342" t="s">
        <v>325</v>
      </c>
      <c r="D137" s="343"/>
      <c r="E137" s="343"/>
      <c r="F137" s="343"/>
      <c r="G137" s="221"/>
      <c r="H137" s="250" t="s">
        <v>263</v>
      </c>
      <c r="I137" s="366"/>
      <c r="J137" s="214"/>
      <c r="K137" s="214"/>
      <c r="L137" s="214"/>
      <c r="M137" s="214"/>
      <c r="N137" s="214"/>
      <c r="O137" s="214"/>
    </row>
    <row r="138" spans="2:15" ht="19.5" customHeight="1" x14ac:dyDescent="0.25">
      <c r="B138" s="258" t="s">
        <v>227</v>
      </c>
      <c r="C138" s="344" t="s">
        <v>395</v>
      </c>
      <c r="D138" s="317"/>
      <c r="E138" s="317"/>
      <c r="F138" s="317"/>
      <c r="G138" s="305"/>
      <c r="H138" s="261"/>
      <c r="I138" s="371"/>
      <c r="J138" s="214"/>
      <c r="K138" s="214"/>
      <c r="L138" s="214"/>
      <c r="M138" s="214"/>
      <c r="N138" s="214"/>
      <c r="O138" s="214"/>
    </row>
    <row r="139" spans="2:15" ht="16.5" customHeight="1" x14ac:dyDescent="0.25">
      <c r="B139" s="325" t="s">
        <v>44</v>
      </c>
      <c r="C139" s="353"/>
      <c r="D139" s="353"/>
      <c r="E139" s="354"/>
      <c r="F139" s="354"/>
      <c r="G139" s="355"/>
      <c r="H139" s="261">
        <f>SUM(H138)</f>
        <v>0</v>
      </c>
      <c r="I139" s="371"/>
      <c r="J139" s="214"/>
      <c r="K139" s="214"/>
      <c r="L139" s="214"/>
      <c r="M139" s="214"/>
      <c r="N139" s="214"/>
      <c r="O139" s="214"/>
    </row>
    <row r="140" spans="2:15" x14ac:dyDescent="0.25">
      <c r="B140" s="273"/>
      <c r="C140" s="273"/>
      <c r="D140" s="273"/>
      <c r="E140" s="273"/>
      <c r="F140" s="273"/>
      <c r="G140" s="273"/>
      <c r="J140" s="214"/>
      <c r="K140" s="214"/>
      <c r="L140" s="214"/>
      <c r="M140" s="214"/>
      <c r="N140" s="214"/>
    </row>
    <row r="141" spans="2:15" x14ac:dyDescent="0.25">
      <c r="B141" s="273"/>
      <c r="C141" s="273"/>
      <c r="D141" s="273"/>
      <c r="E141" s="273"/>
      <c r="F141" s="273"/>
      <c r="G141" s="273"/>
      <c r="J141" s="214"/>
      <c r="K141" s="214"/>
      <c r="L141" s="214"/>
      <c r="M141" s="214"/>
      <c r="N141" s="214"/>
    </row>
    <row r="142" spans="2:15" x14ac:dyDescent="0.25">
      <c r="B142" s="375" t="s">
        <v>327</v>
      </c>
      <c r="C142" s="265"/>
      <c r="D142" s="265"/>
      <c r="E142" s="265"/>
      <c r="F142" s="265"/>
      <c r="G142" s="265"/>
      <c r="H142" s="265"/>
      <c r="I142" s="157"/>
      <c r="J142" s="214"/>
      <c r="K142" s="214"/>
      <c r="L142" s="214"/>
      <c r="M142" s="214"/>
      <c r="N142" s="214"/>
    </row>
    <row r="143" spans="2:15" x14ac:dyDescent="0.25">
      <c r="B143" s="266"/>
      <c r="C143" s="256"/>
      <c r="D143" s="256"/>
      <c r="E143" s="256"/>
      <c r="F143" s="256"/>
      <c r="G143" s="256"/>
      <c r="J143" s="214"/>
      <c r="K143" s="214"/>
      <c r="L143" s="214"/>
      <c r="M143" s="214"/>
      <c r="N143" s="214"/>
    </row>
    <row r="144" spans="2:15" x14ac:dyDescent="0.25">
      <c r="B144" s="266"/>
      <c r="C144" s="256"/>
      <c r="D144" s="256"/>
      <c r="E144" s="88"/>
      <c r="F144" s="88"/>
      <c r="G144" s="88"/>
      <c r="H144" s="239" t="str">
        <f>H136</f>
        <v>Médico</v>
      </c>
      <c r="I144" s="332"/>
      <c r="J144" s="214"/>
      <c r="K144" s="214"/>
      <c r="L144" s="214"/>
      <c r="M144" s="214"/>
      <c r="N144" s="214"/>
    </row>
    <row r="145" spans="2:15" ht="16.5" customHeight="1" x14ac:dyDescent="0.25">
      <c r="B145" s="257">
        <v>4</v>
      </c>
      <c r="C145" s="342" t="s">
        <v>328</v>
      </c>
      <c r="D145" s="343"/>
      <c r="E145" s="343"/>
      <c r="F145" s="343"/>
      <c r="G145" s="221"/>
      <c r="H145" s="250" t="s">
        <v>263</v>
      </c>
      <c r="I145" s="366"/>
      <c r="J145" s="214"/>
      <c r="K145" s="214"/>
      <c r="L145" s="214"/>
      <c r="M145" s="214"/>
      <c r="N145" s="214"/>
      <c r="O145" s="214"/>
    </row>
    <row r="146" spans="2:15" ht="16.5" customHeight="1" x14ac:dyDescent="0.25">
      <c r="B146" s="258" t="s">
        <v>314</v>
      </c>
      <c r="C146" s="344" t="s">
        <v>396</v>
      </c>
      <c r="D146" s="317"/>
      <c r="E146" s="317"/>
      <c r="F146" s="317"/>
      <c r="G146" s="305"/>
      <c r="H146" s="251">
        <f>H121</f>
        <v>197.22</v>
      </c>
      <c r="I146" s="367"/>
      <c r="J146" s="214"/>
      <c r="K146" s="214"/>
      <c r="L146" s="214"/>
      <c r="M146" s="214"/>
      <c r="N146" s="214"/>
      <c r="O146" s="214"/>
    </row>
    <row r="147" spans="2:15" ht="16.5" customHeight="1" x14ac:dyDescent="0.25">
      <c r="B147" s="258" t="s">
        <v>397</v>
      </c>
      <c r="C147" s="344" t="s">
        <v>398</v>
      </c>
      <c r="D147" s="317"/>
      <c r="E147" s="317"/>
      <c r="F147" s="317"/>
      <c r="G147" s="305"/>
      <c r="H147" s="251">
        <f>H130</f>
        <v>7.36</v>
      </c>
      <c r="I147" s="367"/>
      <c r="J147" s="214"/>
      <c r="K147" s="214"/>
      <c r="L147" s="214"/>
      <c r="M147" s="214"/>
      <c r="N147" s="214"/>
      <c r="O147" s="214"/>
    </row>
    <row r="148" spans="2:15" ht="16.5" customHeight="1" x14ac:dyDescent="0.25">
      <c r="B148" s="258" t="s">
        <v>324</v>
      </c>
      <c r="C148" s="344" t="s">
        <v>399</v>
      </c>
      <c r="D148" s="317"/>
      <c r="E148" s="317"/>
      <c r="F148" s="317"/>
      <c r="G148" s="305"/>
      <c r="H148" s="251">
        <f>H139</f>
        <v>0</v>
      </c>
      <c r="I148" s="367"/>
      <c r="J148" s="214"/>
      <c r="K148" s="214"/>
      <c r="L148" s="214"/>
      <c r="M148" s="214"/>
      <c r="N148" s="214"/>
      <c r="O148" s="214"/>
    </row>
    <row r="149" spans="2:15" ht="16.5" customHeight="1" x14ac:dyDescent="0.25">
      <c r="B149" s="345" t="s">
        <v>44</v>
      </c>
      <c r="C149" s="346"/>
      <c r="D149" s="346"/>
      <c r="E149" s="347"/>
      <c r="F149" s="347"/>
      <c r="G149" s="348"/>
      <c r="H149" s="274">
        <f>ROUND(SUM(H146:H148),2)</f>
        <v>204.58</v>
      </c>
      <c r="I149" s="367"/>
      <c r="J149" s="214"/>
      <c r="K149" s="214"/>
      <c r="L149" s="214"/>
      <c r="M149" s="214"/>
      <c r="N149" s="214"/>
      <c r="O149" s="214"/>
    </row>
    <row r="150" spans="2:15" x14ac:dyDescent="0.25">
      <c r="B150" s="273"/>
      <c r="C150" s="273"/>
      <c r="D150" s="273"/>
      <c r="E150" s="273"/>
      <c r="F150" s="273"/>
      <c r="G150" s="273"/>
      <c r="J150" s="214"/>
      <c r="K150" s="214"/>
      <c r="L150" s="214"/>
      <c r="M150" s="214"/>
      <c r="N150" s="214"/>
    </row>
    <row r="151" spans="2:15" x14ac:dyDescent="0.25">
      <c r="B151" s="369" t="s">
        <v>329</v>
      </c>
      <c r="C151" s="255"/>
      <c r="D151" s="255"/>
      <c r="E151" s="255"/>
      <c r="F151" s="255"/>
      <c r="G151" s="255"/>
      <c r="H151" s="255"/>
      <c r="I151" s="370"/>
      <c r="J151" s="214"/>
      <c r="K151" s="214"/>
      <c r="L151" s="214"/>
      <c r="M151" s="214"/>
      <c r="N151" s="214"/>
    </row>
    <row r="152" spans="2:15" x14ac:dyDescent="0.25">
      <c r="B152" s="256"/>
      <c r="C152" s="256"/>
      <c r="D152" s="256"/>
      <c r="E152" s="256"/>
      <c r="F152" s="256"/>
      <c r="G152" s="256"/>
      <c r="J152" s="214"/>
      <c r="K152" s="214"/>
      <c r="L152" s="214"/>
      <c r="M152" s="214"/>
      <c r="N152" s="214"/>
    </row>
    <row r="153" spans="2:15" x14ac:dyDescent="0.25">
      <c r="B153" s="256"/>
      <c r="C153" s="256"/>
      <c r="D153" s="256"/>
      <c r="E153" s="88"/>
      <c r="F153" s="88"/>
      <c r="G153" s="88"/>
      <c r="H153" s="239" t="str">
        <f>H144</f>
        <v>Médico</v>
      </c>
      <c r="I153" s="332"/>
      <c r="J153" s="214"/>
      <c r="K153" s="214"/>
      <c r="L153" s="214"/>
      <c r="M153" s="214"/>
      <c r="N153" s="214"/>
    </row>
    <row r="154" spans="2:15" ht="16.5" customHeight="1" x14ac:dyDescent="0.25">
      <c r="B154" s="257">
        <v>5</v>
      </c>
      <c r="C154" s="342" t="s">
        <v>217</v>
      </c>
      <c r="D154" s="343"/>
      <c r="E154" s="343"/>
      <c r="F154" s="343"/>
      <c r="G154" s="221"/>
      <c r="H154" s="250" t="s">
        <v>263</v>
      </c>
      <c r="I154" s="366"/>
      <c r="J154" s="214"/>
      <c r="K154" s="214"/>
      <c r="L154" s="214"/>
      <c r="M154" s="214"/>
      <c r="N154" s="214"/>
      <c r="O154" s="214"/>
    </row>
    <row r="155" spans="2:15" ht="16.5" customHeight="1" x14ac:dyDescent="0.25">
      <c r="B155" s="258" t="s">
        <v>227</v>
      </c>
      <c r="C155" s="344" t="s">
        <v>400</v>
      </c>
      <c r="D155" s="317"/>
      <c r="E155" s="317"/>
      <c r="F155" s="317"/>
      <c r="G155" s="305"/>
      <c r="H155" s="251"/>
      <c r="I155" s="367"/>
      <c r="J155" s="214"/>
      <c r="K155" s="214"/>
      <c r="L155" s="214"/>
      <c r="M155" s="214"/>
      <c r="N155" s="214"/>
      <c r="O155" s="214"/>
    </row>
    <row r="156" spans="2:15" ht="16.5" customHeight="1" x14ac:dyDescent="0.25">
      <c r="B156" s="258" t="s">
        <v>229</v>
      </c>
      <c r="C156" s="344" t="s">
        <v>401</v>
      </c>
      <c r="D156" s="317"/>
      <c r="E156" s="317"/>
      <c r="F156" s="317"/>
      <c r="G156" s="305"/>
      <c r="H156" s="251">
        <v>1.9</v>
      </c>
      <c r="I156" s="367"/>
      <c r="J156" s="214"/>
      <c r="K156" s="214"/>
      <c r="L156" s="214"/>
      <c r="M156" s="214"/>
      <c r="N156" s="214"/>
      <c r="O156" s="214"/>
    </row>
    <row r="157" spans="2:15" ht="16.5" customHeight="1" x14ac:dyDescent="0.25">
      <c r="B157" s="258" t="s">
        <v>232</v>
      </c>
      <c r="C157" s="344" t="s">
        <v>402</v>
      </c>
      <c r="D157" s="317"/>
      <c r="E157" s="317"/>
      <c r="F157" s="317"/>
      <c r="G157" s="305"/>
      <c r="H157" s="251"/>
      <c r="I157" s="367"/>
      <c r="J157" s="214"/>
      <c r="K157" s="214"/>
      <c r="L157" s="214"/>
      <c r="M157" s="214"/>
      <c r="N157" s="214"/>
      <c r="O157" s="214"/>
    </row>
    <row r="158" spans="2:15" ht="16.5" customHeight="1" x14ac:dyDescent="0.25">
      <c r="B158" s="258" t="s">
        <v>234</v>
      </c>
      <c r="C158" s="344" t="s">
        <v>271</v>
      </c>
      <c r="D158" s="317"/>
      <c r="E158" s="317"/>
      <c r="F158" s="317"/>
      <c r="G158" s="305"/>
      <c r="H158" s="251"/>
      <c r="I158" s="367"/>
      <c r="J158" s="214"/>
      <c r="K158" s="214"/>
      <c r="L158" s="214"/>
      <c r="M158" s="214"/>
      <c r="N158" s="214"/>
      <c r="O158" s="214"/>
    </row>
    <row r="159" spans="2:15" ht="16.5" customHeight="1" x14ac:dyDescent="0.25">
      <c r="B159" s="376" t="s">
        <v>44</v>
      </c>
      <c r="C159" s="377"/>
      <c r="D159" s="377"/>
      <c r="E159" s="377"/>
      <c r="F159" s="377"/>
      <c r="G159" s="378"/>
      <c r="H159" s="274">
        <f>SUM(H155:H158)</f>
        <v>1.9</v>
      </c>
      <c r="I159" s="367"/>
      <c r="J159" s="214"/>
      <c r="K159" s="214"/>
      <c r="L159" s="214"/>
      <c r="M159" s="214"/>
      <c r="N159" s="214"/>
      <c r="O159" s="214"/>
    </row>
    <row r="160" spans="2:15" x14ac:dyDescent="0.25">
      <c r="J160" s="214"/>
      <c r="K160" s="214"/>
      <c r="L160" s="214"/>
      <c r="M160" s="214"/>
      <c r="N160" s="214"/>
    </row>
    <row r="161" spans="2:14" x14ac:dyDescent="0.25">
      <c r="B161" s="369" t="s">
        <v>403</v>
      </c>
      <c r="C161" s="255"/>
      <c r="D161" s="255"/>
      <c r="E161" s="255"/>
      <c r="F161" s="255"/>
      <c r="G161" s="255"/>
      <c r="H161" s="255"/>
      <c r="I161" s="370"/>
      <c r="J161" s="214"/>
      <c r="K161" s="214"/>
      <c r="L161" s="214"/>
      <c r="M161" s="214"/>
      <c r="N161" s="214"/>
    </row>
    <row r="162" spans="2:14" x14ac:dyDescent="0.25">
      <c r="B162" s="256"/>
      <c r="C162" s="256"/>
      <c r="D162" s="256"/>
      <c r="E162" s="256"/>
      <c r="F162" s="256"/>
      <c r="G162" s="256"/>
      <c r="J162" s="214"/>
      <c r="K162" s="214"/>
      <c r="L162" s="214"/>
      <c r="M162" s="214"/>
      <c r="N162" s="214"/>
    </row>
    <row r="163" spans="2:14" x14ac:dyDescent="0.25">
      <c r="B163" s="256"/>
      <c r="C163" s="256"/>
      <c r="D163" s="256"/>
      <c r="E163" s="256"/>
      <c r="F163" s="88"/>
      <c r="G163" s="88"/>
      <c r="H163" s="239" t="str">
        <f>H153</f>
        <v>Médico</v>
      </c>
      <c r="I163" s="332"/>
      <c r="J163" s="214"/>
      <c r="K163" s="214"/>
      <c r="L163" s="214"/>
      <c r="M163" s="214"/>
      <c r="N163" s="214"/>
    </row>
    <row r="164" spans="2:14" ht="16.5" customHeight="1" x14ac:dyDescent="0.25">
      <c r="B164" s="257">
        <v>6</v>
      </c>
      <c r="C164" s="379" t="s">
        <v>218</v>
      </c>
      <c r="D164" s="380"/>
      <c r="E164" s="275"/>
      <c r="F164" s="381" t="s">
        <v>281</v>
      </c>
      <c r="G164" s="250"/>
      <c r="H164" s="250" t="s">
        <v>263</v>
      </c>
      <c r="I164" s="366"/>
      <c r="J164" s="214"/>
      <c r="K164" s="214"/>
      <c r="L164" s="214"/>
      <c r="M164" s="214"/>
      <c r="N164" s="214"/>
    </row>
    <row r="165" spans="2:14" ht="16.5" customHeight="1" x14ac:dyDescent="0.25">
      <c r="B165" s="258" t="s">
        <v>227</v>
      </c>
      <c r="C165" s="382" t="s">
        <v>200</v>
      </c>
      <c r="D165" s="383"/>
      <c r="E165" s="270"/>
      <c r="F165" s="384">
        <v>0.06</v>
      </c>
      <c r="G165" s="277"/>
      <c r="H165" s="251">
        <f>(H159+H149+H106+H93+H42)*$F$165</f>
        <v>759.13379999999995</v>
      </c>
      <c r="I165" s="367"/>
      <c r="J165" s="214"/>
      <c r="K165" s="214"/>
      <c r="L165" s="214"/>
      <c r="M165" s="214"/>
      <c r="N165" s="214"/>
    </row>
    <row r="166" spans="2:14" ht="16.5" customHeight="1" x14ac:dyDescent="0.25">
      <c r="B166" s="258" t="s">
        <v>229</v>
      </c>
      <c r="C166" s="382" t="s">
        <v>202</v>
      </c>
      <c r="D166" s="383"/>
      <c r="E166" s="270"/>
      <c r="F166" s="384">
        <v>6.7900000000000002E-2</v>
      </c>
      <c r="G166" s="277"/>
      <c r="H166" s="251">
        <f>(H159+H149+H106+H93+H42+H165)*$F$166</f>
        <v>910.63160201999995</v>
      </c>
      <c r="I166" s="367"/>
      <c r="J166" s="214"/>
      <c r="K166" s="214"/>
      <c r="L166" s="214"/>
      <c r="M166" s="214"/>
      <c r="N166" s="214"/>
    </row>
    <row r="167" spans="2:14" ht="16.5" customHeight="1" x14ac:dyDescent="0.25">
      <c r="B167" s="258" t="s">
        <v>232</v>
      </c>
      <c r="C167" s="382" t="s">
        <v>201</v>
      </c>
      <c r="D167" s="383"/>
      <c r="E167" s="270"/>
      <c r="F167" s="384"/>
      <c r="G167" s="277"/>
      <c r="H167" s="261"/>
      <c r="I167" s="371"/>
      <c r="J167" s="214"/>
      <c r="K167" s="214"/>
      <c r="L167" s="214"/>
      <c r="M167" s="214"/>
      <c r="N167" s="214"/>
    </row>
    <row r="168" spans="2:14" ht="30.75" customHeight="1" x14ac:dyDescent="0.25">
      <c r="B168" s="258"/>
      <c r="C168" s="382" t="s">
        <v>332</v>
      </c>
      <c r="D168" s="383"/>
      <c r="E168" s="270"/>
      <c r="F168" s="385">
        <f>1-(F169+F170+F171+F172)</f>
        <v>0.91349999999999998</v>
      </c>
      <c r="G168" s="279"/>
      <c r="H168" s="280">
        <f>(H159+H149+H106+H93+H42+H165+H166)/$F$168</f>
        <v>15678.155886174054</v>
      </c>
      <c r="I168" s="367"/>
      <c r="J168" s="214"/>
      <c r="K168" s="214"/>
      <c r="L168" s="214"/>
      <c r="M168" s="214"/>
      <c r="N168" s="214"/>
    </row>
    <row r="169" spans="2:14" ht="16.5" customHeight="1" x14ac:dyDescent="0.25">
      <c r="B169" s="258"/>
      <c r="C169" s="382" t="s">
        <v>333</v>
      </c>
      <c r="D169" s="383"/>
      <c r="E169" s="270"/>
      <c r="F169" s="384">
        <v>6.4999999999999997E-3</v>
      </c>
      <c r="G169" s="277"/>
      <c r="H169" s="251">
        <f>H168*$F$169</f>
        <v>101.90801326013134</v>
      </c>
      <c r="I169" s="367"/>
      <c r="J169" s="214"/>
      <c r="K169" s="214"/>
      <c r="L169" s="214"/>
      <c r="M169" s="214"/>
      <c r="N169" s="214"/>
    </row>
    <row r="170" spans="2:14" ht="16.5" customHeight="1" x14ac:dyDescent="0.25">
      <c r="B170" s="258"/>
      <c r="C170" s="382" t="s">
        <v>334</v>
      </c>
      <c r="D170" s="383"/>
      <c r="E170" s="270"/>
      <c r="F170" s="384">
        <v>0.03</v>
      </c>
      <c r="G170" s="277"/>
      <c r="H170" s="251">
        <f>H168*$F$170</f>
        <v>470.34467658522158</v>
      </c>
      <c r="I170" s="367"/>
      <c r="J170" s="214"/>
      <c r="K170" s="214"/>
      <c r="L170" s="214"/>
      <c r="M170" s="214"/>
      <c r="N170" s="214"/>
    </row>
    <row r="171" spans="2:14" ht="16.5" customHeight="1" x14ac:dyDescent="0.25">
      <c r="B171" s="258"/>
      <c r="C171" s="382" t="s">
        <v>335</v>
      </c>
      <c r="D171" s="383"/>
      <c r="E171" s="270"/>
      <c r="F171" s="384"/>
      <c r="G171" s="277"/>
      <c r="H171" s="251">
        <f>H168*$F$171</f>
        <v>0</v>
      </c>
      <c r="I171" s="367"/>
      <c r="J171" s="214"/>
      <c r="K171" s="214"/>
      <c r="L171" s="214"/>
      <c r="M171" s="214"/>
      <c r="N171" s="214"/>
    </row>
    <row r="172" spans="2:14" ht="16.5" customHeight="1" x14ac:dyDescent="0.25">
      <c r="B172" s="258"/>
      <c r="C172" s="382" t="s">
        <v>336</v>
      </c>
      <c r="D172" s="383"/>
      <c r="E172" s="270"/>
      <c r="F172" s="384">
        <v>0.05</v>
      </c>
      <c r="G172" s="277"/>
      <c r="H172" s="251">
        <f>H168*$F$172</f>
        <v>783.90779430870271</v>
      </c>
      <c r="I172" s="367"/>
      <c r="J172" s="214"/>
      <c r="K172" s="214"/>
      <c r="L172" s="214"/>
      <c r="M172" s="214"/>
      <c r="N172" s="214"/>
    </row>
    <row r="173" spans="2:14" ht="16.5" customHeight="1" x14ac:dyDescent="0.25">
      <c r="B173" s="376" t="s">
        <v>288</v>
      </c>
      <c r="C173" s="377"/>
      <c r="D173" s="377"/>
      <c r="E173" s="378"/>
      <c r="F173" s="386">
        <f>SUM(F169:F172)</f>
        <v>8.6499999999999994E-2</v>
      </c>
      <c r="G173" s="387"/>
      <c r="H173" s="274">
        <f>ROUND(SUM(H169:H172)+SUM(H165:H166),2)</f>
        <v>3025.93</v>
      </c>
      <c r="I173" s="367"/>
      <c r="J173" s="214"/>
      <c r="K173" s="214"/>
      <c r="L173" s="214"/>
      <c r="M173" s="214"/>
      <c r="N173" s="214"/>
    </row>
    <row r="174" spans="2:14" x14ac:dyDescent="0.25">
      <c r="J174" s="214"/>
      <c r="K174" s="214"/>
      <c r="L174" s="214"/>
    </row>
    <row r="175" spans="2:14" ht="24" customHeight="1" x14ac:dyDescent="0.25">
      <c r="B175" s="324" t="s">
        <v>337</v>
      </c>
      <c r="C175" s="324"/>
      <c r="D175" s="324"/>
      <c r="E175" s="324"/>
      <c r="F175" s="324"/>
      <c r="G175" s="324"/>
      <c r="H175" s="324"/>
      <c r="J175" s="214"/>
      <c r="K175" s="214"/>
      <c r="L175" s="214"/>
    </row>
    <row r="176" spans="2:14" x14ac:dyDescent="0.25">
      <c r="J176" s="214"/>
      <c r="K176" s="214"/>
      <c r="L176" s="214"/>
    </row>
    <row r="177" spans="2:15" x14ac:dyDescent="0.25">
      <c r="E177" s="88"/>
      <c r="F177" s="88"/>
      <c r="G177" s="88"/>
      <c r="H177" s="365" t="str">
        <f>H163</f>
        <v>Médico</v>
      </c>
      <c r="I177" s="332"/>
      <c r="J177" s="214"/>
      <c r="K177" s="214"/>
      <c r="L177" s="214"/>
      <c r="M177" s="214"/>
      <c r="N177" s="214"/>
    </row>
    <row r="178" spans="2:15" ht="32.25" customHeight="1" x14ac:dyDescent="0.25">
      <c r="B178" s="227"/>
      <c r="C178" s="342" t="s">
        <v>338</v>
      </c>
      <c r="D178" s="343"/>
      <c r="E178" s="343"/>
      <c r="F178" s="343"/>
      <c r="G178" s="221"/>
      <c r="H178" s="221" t="s">
        <v>263</v>
      </c>
      <c r="I178" s="88"/>
      <c r="J178" s="214"/>
      <c r="K178" s="214"/>
      <c r="L178" s="214"/>
      <c r="M178" s="214"/>
      <c r="N178" s="214"/>
      <c r="O178" s="214"/>
    </row>
    <row r="179" spans="2:15" ht="16.5" customHeight="1" x14ac:dyDescent="0.25">
      <c r="B179" s="282" t="s">
        <v>227</v>
      </c>
      <c r="C179" s="344" t="s">
        <v>261</v>
      </c>
      <c r="D179" s="317"/>
      <c r="E179" s="317"/>
      <c r="F179" s="317"/>
      <c r="G179" s="305"/>
      <c r="H179" s="224">
        <f>H42</f>
        <v>7352.18</v>
      </c>
      <c r="I179" s="334"/>
      <c r="K179" s="214"/>
      <c r="L179" s="214"/>
      <c r="M179" s="214"/>
      <c r="N179" s="214"/>
      <c r="O179" s="214"/>
    </row>
    <row r="180" spans="2:15" ht="16.5" customHeight="1" x14ac:dyDescent="0.25">
      <c r="B180" s="282" t="s">
        <v>229</v>
      </c>
      <c r="C180" s="344" t="s">
        <v>272</v>
      </c>
      <c r="D180" s="317"/>
      <c r="E180" s="317"/>
      <c r="F180" s="317"/>
      <c r="G180" s="305"/>
      <c r="H180" s="224">
        <f>H93</f>
        <v>4583.32</v>
      </c>
      <c r="I180" s="334"/>
      <c r="K180" s="214"/>
      <c r="L180" s="214"/>
      <c r="M180" s="214"/>
      <c r="N180" s="214"/>
      <c r="O180" s="214"/>
    </row>
    <row r="181" spans="2:15" ht="16.5" customHeight="1" x14ac:dyDescent="0.25">
      <c r="B181" s="282" t="s">
        <v>232</v>
      </c>
      <c r="C181" s="344" t="s">
        <v>303</v>
      </c>
      <c r="D181" s="317"/>
      <c r="E181" s="317"/>
      <c r="F181" s="317"/>
      <c r="G181" s="305"/>
      <c r="H181" s="224">
        <f>H106</f>
        <v>510.25</v>
      </c>
      <c r="I181" s="334"/>
      <c r="K181" s="214"/>
      <c r="L181" s="214"/>
      <c r="M181" s="214"/>
      <c r="N181" s="214"/>
      <c r="O181" s="214"/>
    </row>
    <row r="182" spans="2:15" ht="16.5" customHeight="1" x14ac:dyDescent="0.25">
      <c r="B182" s="282" t="s">
        <v>234</v>
      </c>
      <c r="C182" s="344" t="s">
        <v>311</v>
      </c>
      <c r="D182" s="317"/>
      <c r="E182" s="317"/>
      <c r="F182" s="317"/>
      <c r="G182" s="305"/>
      <c r="H182" s="224">
        <f>H149</f>
        <v>204.58</v>
      </c>
      <c r="I182" s="334"/>
      <c r="K182" s="214"/>
      <c r="L182" s="214"/>
      <c r="M182" s="214"/>
      <c r="N182" s="214"/>
      <c r="O182" s="214"/>
    </row>
    <row r="183" spans="2:15" ht="16.5" customHeight="1" x14ac:dyDescent="0.25">
      <c r="B183" s="282" t="s">
        <v>267</v>
      </c>
      <c r="C183" s="344" t="s">
        <v>329</v>
      </c>
      <c r="D183" s="317"/>
      <c r="E183" s="317"/>
      <c r="F183" s="317"/>
      <c r="G183" s="305"/>
      <c r="H183" s="224">
        <f>H159</f>
        <v>1.9</v>
      </c>
      <c r="I183" s="334"/>
      <c r="K183" s="214"/>
      <c r="L183" s="214"/>
      <c r="M183" s="214"/>
      <c r="N183" s="214"/>
      <c r="O183" s="214"/>
    </row>
    <row r="184" spans="2:15" ht="16.5" customHeight="1" x14ac:dyDescent="0.25">
      <c r="B184" s="362" t="s">
        <v>344</v>
      </c>
      <c r="C184" s="343"/>
      <c r="D184" s="343"/>
      <c r="E184" s="343"/>
      <c r="F184" s="343"/>
      <c r="G184" s="221"/>
      <c r="H184" s="284">
        <f>SUM(H179:H183)</f>
        <v>12652.23</v>
      </c>
      <c r="I184" s="388"/>
      <c r="K184" s="214"/>
      <c r="L184" s="214"/>
      <c r="M184" s="214"/>
      <c r="N184" s="214"/>
      <c r="O184" s="214"/>
    </row>
    <row r="185" spans="2:15" ht="16.5" customHeight="1" x14ac:dyDescent="0.25">
      <c r="B185" s="282" t="s">
        <v>269</v>
      </c>
      <c r="C185" s="344" t="s">
        <v>345</v>
      </c>
      <c r="D185" s="317"/>
      <c r="E185" s="317"/>
      <c r="F185" s="317"/>
      <c r="G185" s="305"/>
      <c r="H185" s="224">
        <f>H173</f>
        <v>3025.93</v>
      </c>
      <c r="I185" s="334"/>
      <c r="K185" s="214"/>
      <c r="L185" s="214"/>
      <c r="M185" s="214"/>
      <c r="N185" s="214"/>
      <c r="O185" s="214"/>
    </row>
    <row r="186" spans="2:15" ht="23.25" customHeight="1" x14ac:dyDescent="0.25">
      <c r="B186" s="389" t="s">
        <v>347</v>
      </c>
      <c r="C186" s="390"/>
      <c r="D186" s="390"/>
      <c r="E186" s="390"/>
      <c r="F186" s="390"/>
      <c r="G186" s="391"/>
      <c r="H186" s="392">
        <f>ROUND(H185+H184,2)</f>
        <v>15678.16</v>
      </c>
      <c r="I186" s="393"/>
    </row>
    <row r="188" spans="2:15" ht="20.25" customHeight="1" x14ac:dyDescent="0.25">
      <c r="B188" s="324" t="s">
        <v>348</v>
      </c>
      <c r="C188" s="237"/>
      <c r="D188" s="237"/>
      <c r="E188" s="237"/>
      <c r="F188" s="237"/>
      <c r="G188" s="237"/>
      <c r="H188" s="237"/>
    </row>
    <row r="189" spans="2:15" x14ac:dyDescent="0.25">
      <c r="B189" s="213"/>
    </row>
    <row r="190" spans="2:15" ht="62.1" customHeight="1" x14ac:dyDescent="0.25">
      <c r="B190" s="227"/>
      <c r="C190" s="227" t="s">
        <v>349</v>
      </c>
      <c r="D190" s="221" t="s">
        <v>350</v>
      </c>
      <c r="E190" s="221" t="s">
        <v>351</v>
      </c>
      <c r="F190" s="221" t="s">
        <v>352</v>
      </c>
      <c r="G190" s="221" t="s">
        <v>353</v>
      </c>
      <c r="H190" s="221" t="s">
        <v>354</v>
      </c>
      <c r="J190" s="214"/>
      <c r="K190" s="214"/>
      <c r="L190" s="214"/>
    </row>
    <row r="191" spans="2:15" ht="42.2" customHeight="1" x14ac:dyDescent="0.25">
      <c r="B191" s="286" t="s">
        <v>404</v>
      </c>
      <c r="C191" s="287" t="str">
        <f>B15</f>
        <v>AUDITORIA INTERNA E EXTERNA – PERÍCIA MÉDICA – MÉDICO</v>
      </c>
      <c r="D191" s="288">
        <f>H186</f>
        <v>15678.16</v>
      </c>
      <c r="E191" s="226">
        <f>H15</f>
        <v>1</v>
      </c>
      <c r="F191" s="289">
        <f>D191*E191</f>
        <v>15678.16</v>
      </c>
      <c r="G191" s="226">
        <f>G15</f>
        <v>2</v>
      </c>
      <c r="H191" s="290">
        <f>F191*G191</f>
        <v>31356.32</v>
      </c>
      <c r="J191" s="214"/>
      <c r="K191" s="214"/>
      <c r="L191" s="214"/>
    </row>
  </sheetData>
  <mergeCells count="2">
    <mergeCell ref="B3:H3"/>
    <mergeCell ref="C129:G129"/>
  </mergeCells>
  <printOptions horizontalCentered="1"/>
  <pageMargins left="0.25" right="0.25" top="0.75" bottom="0.75208333333333299" header="0.3" footer="0.3"/>
  <pageSetup paperSize="9" scale="59" firstPageNumber="0" orientation="portrait" horizontalDpi="300" verticalDpi="300"/>
  <headerFooter>
    <oddHeader>&amp;C&amp;A</oddHeader>
    <oddFooter>&amp;L&amp;F&amp;R&amp;P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D193"/>
  <sheetViews>
    <sheetView showGridLines="0" topLeftCell="A165" zoomScale="60" zoomScaleNormal="60" workbookViewId="0">
      <selection activeCell="T9" sqref="T9"/>
    </sheetView>
  </sheetViews>
  <sheetFormatPr defaultColWidth="9.140625" defaultRowHeight="15.75" x14ac:dyDescent="0.25"/>
  <cols>
    <col min="1" max="1" width="1.7109375" style="213" customWidth="1"/>
    <col min="2" max="2" width="16.7109375" style="214" customWidth="1"/>
    <col min="3" max="3" width="41.7109375" style="214" customWidth="1"/>
    <col min="4" max="4" width="21.7109375" style="214" customWidth="1"/>
    <col min="5" max="5" width="19.7109375" style="214" customWidth="1"/>
    <col min="6" max="6" width="18.5703125" style="214" customWidth="1"/>
    <col min="7" max="7" width="24.85546875" style="214" customWidth="1"/>
    <col min="8" max="8" width="25.28515625" style="214" customWidth="1"/>
    <col min="9" max="9" width="9.140625" style="214"/>
    <col min="10" max="13" width="9.140625" style="213"/>
    <col min="14" max="14" width="33.28515625" style="213" customWidth="1"/>
    <col min="15" max="15" width="25" style="213" customWidth="1"/>
    <col min="16" max="1018" width="9.140625" style="213"/>
    <col min="1019" max="1024" width="11.5703125" customWidth="1"/>
  </cols>
  <sheetData>
    <row r="1" spans="2:11" ht="18.75" customHeight="1" x14ac:dyDescent="0.25">
      <c r="B1" s="215" t="s">
        <v>364</v>
      </c>
    </row>
    <row r="2" spans="2:11" ht="24" customHeight="1" x14ac:dyDescent="0.25">
      <c r="B2" s="89" t="s">
        <v>365</v>
      </c>
    </row>
    <row r="3" spans="2:11" ht="30.75" customHeight="1" x14ac:dyDescent="0.25">
      <c r="B3" s="500" t="s">
        <v>366</v>
      </c>
      <c r="C3" s="500"/>
      <c r="D3" s="500"/>
      <c r="E3" s="500"/>
      <c r="F3" s="500"/>
      <c r="G3" s="500"/>
      <c r="H3" s="500"/>
    </row>
    <row r="4" spans="2:11" ht="17.25" customHeight="1" x14ac:dyDescent="0.25">
      <c r="B4" s="216" t="s">
        <v>367</v>
      </c>
      <c r="H4" s="309"/>
    </row>
    <row r="5" spans="2:11" ht="33" customHeight="1" x14ac:dyDescent="0.35">
      <c r="B5" s="310" t="s">
        <v>0</v>
      </c>
      <c r="C5" s="218"/>
      <c r="D5" s="218"/>
      <c r="E5" s="218"/>
      <c r="F5" s="218"/>
      <c r="G5" s="311"/>
      <c r="H5" s="311"/>
    </row>
    <row r="6" spans="2:11" x14ac:dyDescent="0.25">
      <c r="B6" s="312"/>
    </row>
    <row r="7" spans="2:11" x14ac:dyDescent="0.25">
      <c r="B7" s="313" t="s">
        <v>226</v>
      </c>
      <c r="C7" s="314"/>
      <c r="D7" s="314"/>
      <c r="E7" s="314"/>
    </row>
    <row r="8" spans="2:11" ht="27" customHeight="1" x14ac:dyDescent="0.25">
      <c r="B8" s="219" t="s">
        <v>227</v>
      </c>
      <c r="C8" s="315" t="s">
        <v>228</v>
      </c>
      <c r="D8" s="316"/>
      <c r="E8" s="316"/>
      <c r="F8" s="316"/>
      <c r="G8" s="220"/>
      <c r="H8" s="221"/>
      <c r="J8" s="214"/>
      <c r="K8" s="214"/>
    </row>
    <row r="9" spans="2:11" ht="27" customHeight="1" x14ac:dyDescent="0.25">
      <c r="B9" s="222" t="s">
        <v>229</v>
      </c>
      <c r="C9" s="315" t="s">
        <v>230</v>
      </c>
      <c r="D9" s="317"/>
      <c r="E9" s="317"/>
      <c r="F9" s="317"/>
      <c r="G9" s="305"/>
      <c r="H9" s="224" t="s">
        <v>231</v>
      </c>
      <c r="J9" s="214"/>
      <c r="K9" s="214"/>
    </row>
    <row r="10" spans="2:11" ht="27" hidden="1" customHeight="1" x14ac:dyDescent="0.25">
      <c r="B10" s="222" t="s">
        <v>232</v>
      </c>
      <c r="C10" s="315" t="s">
        <v>233</v>
      </c>
      <c r="D10" s="317"/>
      <c r="E10" s="317"/>
      <c r="F10" s="317"/>
      <c r="G10" s="305"/>
      <c r="H10" s="225">
        <v>2019</v>
      </c>
      <c r="J10" s="214"/>
      <c r="K10" s="214"/>
    </row>
    <row r="11" spans="2:11" ht="27" customHeight="1" x14ac:dyDescent="0.25">
      <c r="B11" s="222" t="s">
        <v>232</v>
      </c>
      <c r="C11" s="315" t="s">
        <v>235</v>
      </c>
      <c r="D11" s="317"/>
      <c r="E11" s="317"/>
      <c r="F11" s="317"/>
      <c r="G11" s="305"/>
      <c r="H11" s="226">
        <v>12</v>
      </c>
      <c r="J11" s="214"/>
      <c r="K11" s="214"/>
    </row>
    <row r="12" spans="2:11" ht="22.5" customHeight="1" x14ac:dyDescent="0.25"/>
    <row r="13" spans="2:11" x14ac:dyDescent="0.25">
      <c r="B13" s="318" t="s">
        <v>236</v>
      </c>
      <c r="C13" s="46"/>
      <c r="D13" s="46"/>
    </row>
    <row r="14" spans="2:11" ht="59.65" customHeight="1" x14ac:dyDescent="0.25">
      <c r="B14" s="319" t="s">
        <v>237</v>
      </c>
      <c r="C14" s="320"/>
      <c r="D14" s="321"/>
      <c r="E14" s="221" t="s">
        <v>368</v>
      </c>
      <c r="F14" s="221" t="s">
        <v>238</v>
      </c>
      <c r="G14" s="221" t="s">
        <v>369</v>
      </c>
      <c r="H14" s="221" t="s">
        <v>370</v>
      </c>
      <c r="I14" s="228"/>
      <c r="J14" s="214"/>
    </row>
    <row r="15" spans="2:11" ht="19.899999999999999" customHeight="1" x14ac:dyDescent="0.25">
      <c r="B15" s="502" t="s">
        <v>405</v>
      </c>
      <c r="C15" s="502"/>
      <c r="D15" s="323"/>
      <c r="E15" s="225" t="s">
        <v>406</v>
      </c>
      <c r="F15" s="225" t="s">
        <v>241</v>
      </c>
      <c r="G15" s="226">
        <v>2</v>
      </c>
      <c r="H15" s="226">
        <v>1</v>
      </c>
      <c r="J15" s="214"/>
    </row>
    <row r="16" spans="2:11" ht="21.75" customHeight="1" x14ac:dyDescent="0.25">
      <c r="B16" s="502" t="s">
        <v>407</v>
      </c>
      <c r="C16" s="502"/>
      <c r="D16" s="323"/>
      <c r="E16" s="225" t="s">
        <v>406</v>
      </c>
      <c r="F16" s="225" t="s">
        <v>241</v>
      </c>
      <c r="G16" s="226">
        <v>2</v>
      </c>
      <c r="H16" s="226">
        <v>1</v>
      </c>
    </row>
    <row r="17" spans="2:11" x14ac:dyDescent="0.25">
      <c r="B17" s="234"/>
      <c r="C17" s="234"/>
      <c r="D17" s="235"/>
      <c r="E17" s="236"/>
    </row>
    <row r="18" spans="2:11" x14ac:dyDescent="0.25">
      <c r="B18" s="324" t="s">
        <v>247</v>
      </c>
      <c r="C18" s="237"/>
      <c r="D18" s="237"/>
      <c r="E18" s="237"/>
      <c r="F18" s="237"/>
      <c r="G18" s="237"/>
      <c r="H18" s="237"/>
      <c r="I18" s="17"/>
    </row>
    <row r="19" spans="2:11" ht="11.25" customHeight="1" x14ac:dyDescent="0.25"/>
    <row r="20" spans="2:11" x14ac:dyDescent="0.25">
      <c r="B20" s="214" t="s">
        <v>248</v>
      </c>
    </row>
    <row r="21" spans="2:11" x14ac:dyDescent="0.25">
      <c r="B21" s="214" t="s">
        <v>249</v>
      </c>
    </row>
    <row r="22" spans="2:11" ht="27" customHeight="1" x14ac:dyDescent="0.25">
      <c r="B22" s="325" t="s">
        <v>250</v>
      </c>
      <c r="C22" s="326"/>
      <c r="D22" s="326"/>
      <c r="E22" s="326"/>
      <c r="F22" s="326"/>
      <c r="G22" s="326"/>
      <c r="H22" s="327"/>
      <c r="I22" s="46"/>
      <c r="J22" s="214"/>
      <c r="K22" s="214"/>
    </row>
    <row r="23" spans="2:11" ht="32.25" customHeight="1" x14ac:dyDescent="0.25">
      <c r="B23" s="219">
        <v>1</v>
      </c>
      <c r="C23" s="315" t="s">
        <v>373</v>
      </c>
      <c r="D23" s="317"/>
      <c r="E23" s="317"/>
      <c r="F23" s="395"/>
      <c r="G23" s="365" t="s">
        <v>408</v>
      </c>
      <c r="H23" s="239" t="s">
        <v>409</v>
      </c>
      <c r="I23" s="332"/>
      <c r="J23" s="214"/>
      <c r="K23" s="214"/>
    </row>
    <row r="24" spans="2:11" ht="23.25" customHeight="1" x14ac:dyDescent="0.25">
      <c r="B24" s="222">
        <v>2</v>
      </c>
      <c r="C24" s="315" t="s">
        <v>252</v>
      </c>
      <c r="D24" s="317"/>
      <c r="E24" s="317"/>
      <c r="F24" s="395"/>
      <c r="G24" s="396" t="s">
        <v>410</v>
      </c>
      <c r="H24" s="225" t="s">
        <v>410</v>
      </c>
      <c r="I24" s="334"/>
      <c r="J24" s="214"/>
      <c r="K24" s="214"/>
    </row>
    <row r="25" spans="2:11" ht="23.25" customHeight="1" x14ac:dyDescent="0.25">
      <c r="B25" s="222">
        <v>3</v>
      </c>
      <c r="C25" s="315" t="s">
        <v>375</v>
      </c>
      <c r="D25" s="317"/>
      <c r="E25" s="317"/>
      <c r="F25" s="395"/>
      <c r="G25" s="397">
        <v>3472.17</v>
      </c>
      <c r="H25" s="240">
        <v>3472.17</v>
      </c>
      <c r="I25" s="334"/>
      <c r="J25" s="214"/>
      <c r="K25" s="214"/>
    </row>
    <row r="26" spans="2:11" ht="26.25" hidden="1" customHeight="1" x14ac:dyDescent="0.25">
      <c r="B26" s="222">
        <v>4</v>
      </c>
      <c r="C26" s="336" t="s">
        <v>376</v>
      </c>
      <c r="D26" s="304"/>
      <c r="E26" s="337"/>
      <c r="F26" s="338"/>
      <c r="G26" s="335">
        <f>AVERAGE(7966.69,10000)</f>
        <v>8983.3449999999993</v>
      </c>
      <c r="H26" s="331"/>
      <c r="I26" s="339"/>
      <c r="J26" s="214"/>
      <c r="K26" s="214"/>
    </row>
    <row r="27" spans="2:11" ht="45.75" hidden="1" customHeight="1" x14ac:dyDescent="0.25">
      <c r="B27" s="222">
        <v>4</v>
      </c>
      <c r="C27" s="315" t="s">
        <v>256</v>
      </c>
      <c r="D27" s="317"/>
      <c r="E27" s="328"/>
      <c r="F27" s="329"/>
      <c r="G27" s="340" t="s">
        <v>377</v>
      </c>
      <c r="H27" s="331"/>
      <c r="I27" s="334"/>
      <c r="J27" s="214"/>
      <c r="K27" s="214"/>
    </row>
    <row r="28" spans="2:11" ht="26.25" hidden="1" customHeight="1" x14ac:dyDescent="0.25">
      <c r="B28" s="222">
        <v>5</v>
      </c>
      <c r="C28" s="315" t="s">
        <v>258</v>
      </c>
      <c r="D28" s="317"/>
      <c r="E28" s="328"/>
      <c r="F28" s="329"/>
      <c r="G28" s="340" t="s">
        <v>378</v>
      </c>
      <c r="H28" s="331"/>
      <c r="I28" s="334"/>
      <c r="J28" s="214"/>
      <c r="K28" s="214"/>
    </row>
    <row r="29" spans="2:11" hidden="1" x14ac:dyDescent="0.25">
      <c r="B29" s="222"/>
      <c r="C29" s="238"/>
      <c r="D29" s="238"/>
      <c r="E29" s="240"/>
      <c r="F29" s="240"/>
      <c r="G29" s="240"/>
      <c r="H29" s="224"/>
      <c r="I29" s="334"/>
      <c r="J29" s="214"/>
      <c r="K29" s="214"/>
    </row>
    <row r="30" spans="2:11" hidden="1" x14ac:dyDescent="0.25">
      <c r="B30" s="222"/>
      <c r="C30" s="238"/>
      <c r="D30" s="238"/>
      <c r="E30" s="224"/>
      <c r="F30" s="224"/>
      <c r="G30" s="224"/>
      <c r="H30" s="224"/>
      <c r="I30" s="334"/>
      <c r="J30" s="214"/>
      <c r="K30" s="214"/>
    </row>
    <row r="31" spans="2:11" x14ac:dyDescent="0.25">
      <c r="K31" s="214"/>
    </row>
    <row r="32" spans="2:11" x14ac:dyDescent="0.25">
      <c r="B32" s="341" t="s">
        <v>261</v>
      </c>
      <c r="C32" s="241"/>
      <c r="D32" s="241"/>
      <c r="E32" s="241"/>
      <c r="F32" s="241"/>
      <c r="G32" s="241"/>
      <c r="H32" s="241"/>
      <c r="I32" s="46"/>
      <c r="K32" s="214"/>
    </row>
    <row r="33" spans="2:11" x14ac:dyDescent="0.25">
      <c r="K33" s="214"/>
    </row>
    <row r="34" spans="2:11" ht="34.9" customHeight="1" x14ac:dyDescent="0.25">
      <c r="C34" s="256"/>
      <c r="D34" s="256"/>
      <c r="E34" s="88"/>
      <c r="F34" s="88"/>
      <c r="G34" s="365" t="str">
        <f>G23</f>
        <v>Enfermeira – Aud. Interna</v>
      </c>
      <c r="H34" s="239" t="str">
        <f>H23</f>
        <v>Enfermeira - Aud. Externa</v>
      </c>
      <c r="I34" s="332"/>
      <c r="K34" s="214"/>
    </row>
    <row r="35" spans="2:11" x14ac:dyDescent="0.25">
      <c r="B35" s="227">
        <v>1</v>
      </c>
      <c r="C35" s="342" t="s">
        <v>262</v>
      </c>
      <c r="D35" s="343"/>
      <c r="E35" s="343"/>
      <c r="F35" s="343"/>
      <c r="G35" s="398" t="s">
        <v>263</v>
      </c>
      <c r="H35" s="221" t="s">
        <v>263</v>
      </c>
      <c r="I35" s="88"/>
      <c r="J35" s="214"/>
      <c r="K35" s="214"/>
    </row>
    <row r="36" spans="2:11" ht="15" customHeight="1" x14ac:dyDescent="0.25">
      <c r="B36" s="222" t="s">
        <v>227</v>
      </c>
      <c r="C36" s="344" t="s">
        <v>264</v>
      </c>
      <c r="D36" s="317"/>
      <c r="E36" s="317"/>
      <c r="F36" s="317"/>
      <c r="G36" s="397">
        <f>G25</f>
        <v>3472.17</v>
      </c>
      <c r="H36" s="240">
        <f>H25</f>
        <v>3472.17</v>
      </c>
      <c r="I36" s="339"/>
      <c r="J36" s="214"/>
      <c r="K36" s="214"/>
    </row>
    <row r="37" spans="2:11" ht="16.5" customHeight="1" x14ac:dyDescent="0.25">
      <c r="B37" s="222" t="s">
        <v>229</v>
      </c>
      <c r="C37" s="344" t="s">
        <v>265</v>
      </c>
      <c r="D37" s="317"/>
      <c r="E37" s="317"/>
      <c r="F37" s="317"/>
      <c r="G37" s="399"/>
      <c r="H37" s="224"/>
      <c r="I37" s="334"/>
      <c r="J37" s="214"/>
    </row>
    <row r="38" spans="2:11" ht="15" customHeight="1" x14ac:dyDescent="0.25">
      <c r="B38" s="222" t="s">
        <v>232</v>
      </c>
      <c r="C38" s="344" t="s">
        <v>266</v>
      </c>
      <c r="D38" s="317"/>
      <c r="E38" s="317"/>
      <c r="F38" s="317"/>
      <c r="G38" s="399"/>
      <c r="H38" s="224">
        <f>20%*1045</f>
        <v>209</v>
      </c>
      <c r="I38" s="334"/>
      <c r="J38" s="214"/>
    </row>
    <row r="39" spans="2:11" ht="16.5" customHeight="1" x14ac:dyDescent="0.25">
      <c r="B39" s="222" t="s">
        <v>234</v>
      </c>
      <c r="C39" s="344" t="s">
        <v>379</v>
      </c>
      <c r="D39" s="317"/>
      <c r="E39" s="317"/>
      <c r="F39" s="317"/>
      <c r="G39" s="399"/>
      <c r="H39" s="224"/>
      <c r="I39" s="334"/>
      <c r="J39" s="214"/>
    </row>
    <row r="40" spans="2:11" ht="16.5" customHeight="1" x14ac:dyDescent="0.25">
      <c r="B40" s="222" t="s">
        <v>267</v>
      </c>
      <c r="C40" s="344" t="s">
        <v>268</v>
      </c>
      <c r="D40" s="317"/>
      <c r="E40" s="317"/>
      <c r="F40" s="317"/>
      <c r="G40" s="399"/>
      <c r="H40" s="224"/>
      <c r="I40" s="334"/>
      <c r="J40" s="214"/>
    </row>
    <row r="41" spans="2:11" ht="16.5" customHeight="1" x14ac:dyDescent="0.25">
      <c r="B41" s="222" t="s">
        <v>269</v>
      </c>
      <c r="C41" s="344" t="s">
        <v>41</v>
      </c>
      <c r="D41" s="317"/>
      <c r="E41" s="317"/>
      <c r="F41" s="317"/>
      <c r="G41" s="399"/>
      <c r="H41" s="224"/>
      <c r="I41" s="334"/>
      <c r="J41" s="214"/>
    </row>
    <row r="42" spans="2:11" ht="16.5" customHeight="1" x14ac:dyDescent="0.25">
      <c r="B42" s="222" t="s">
        <v>270</v>
      </c>
      <c r="C42" s="344" t="s">
        <v>271</v>
      </c>
      <c r="D42" s="317"/>
      <c r="E42" s="317"/>
      <c r="F42" s="317"/>
      <c r="G42" s="399"/>
      <c r="H42" s="224"/>
      <c r="I42" s="334"/>
      <c r="J42" s="214"/>
    </row>
    <row r="43" spans="2:11" ht="15" customHeight="1" x14ac:dyDescent="0.25">
      <c r="B43" s="345" t="s">
        <v>44</v>
      </c>
      <c r="C43" s="346"/>
      <c r="D43" s="346"/>
      <c r="E43" s="347"/>
      <c r="F43" s="347"/>
      <c r="G43" s="400">
        <f>SUM(G36:G42)</f>
        <v>3472.17</v>
      </c>
      <c r="H43" s="243">
        <f>SUM(H36:H42)</f>
        <v>3681.17</v>
      </c>
      <c r="I43" s="349"/>
      <c r="J43" s="214"/>
    </row>
    <row r="45" spans="2:11" x14ac:dyDescent="0.25">
      <c r="E45" s="350"/>
      <c r="F45" s="350"/>
      <c r="G45" s="350"/>
      <c r="H45" s="350"/>
      <c r="I45" s="350"/>
    </row>
    <row r="46" spans="2:11" x14ac:dyDescent="0.25">
      <c r="B46" s="341" t="s">
        <v>272</v>
      </c>
      <c r="C46" s="241"/>
      <c r="D46" s="241"/>
      <c r="E46" s="241"/>
      <c r="F46" s="241"/>
      <c r="G46" s="241"/>
      <c r="H46" s="241"/>
      <c r="I46" s="17"/>
    </row>
    <row r="47" spans="2:11" x14ac:dyDescent="0.25">
      <c r="B47" s="351"/>
    </row>
    <row r="48" spans="2:11" x14ac:dyDescent="0.25">
      <c r="B48" s="352" t="s">
        <v>273</v>
      </c>
      <c r="C48" s="245"/>
      <c r="D48" s="245"/>
      <c r="E48" s="245"/>
      <c r="F48" s="245"/>
      <c r="G48" s="245"/>
      <c r="H48" s="245"/>
      <c r="I48" s="46"/>
    </row>
    <row r="50" spans="2:1018" ht="36" customHeight="1" x14ac:dyDescent="0.25">
      <c r="C50" s="256"/>
      <c r="D50" s="256"/>
      <c r="E50" s="88"/>
      <c r="F50" s="88"/>
      <c r="G50" s="365" t="str">
        <f>G34</f>
        <v>Enfermeira – Aud. Interna</v>
      </c>
      <c r="H50" s="239" t="str">
        <f>H34</f>
        <v>Enfermeira - Aud. Externa</v>
      </c>
      <c r="I50" s="332"/>
    </row>
    <row r="51" spans="2:1018" ht="32.25" customHeight="1" x14ac:dyDescent="0.25">
      <c r="B51" s="227" t="s">
        <v>274</v>
      </c>
      <c r="C51" s="342" t="s">
        <v>275</v>
      </c>
      <c r="D51" s="343"/>
      <c r="E51" s="343"/>
      <c r="F51" s="343"/>
      <c r="G51" s="398" t="s">
        <v>263</v>
      </c>
      <c r="H51" s="221" t="s">
        <v>263</v>
      </c>
      <c r="I51" s="88"/>
      <c r="J51" s="214"/>
    </row>
    <row r="52" spans="2:1018" ht="16.5" customHeight="1" x14ac:dyDescent="0.25">
      <c r="B52" s="222" t="s">
        <v>227</v>
      </c>
      <c r="C52" s="344" t="s">
        <v>276</v>
      </c>
      <c r="D52" s="317"/>
      <c r="E52" s="317"/>
      <c r="F52" s="317"/>
      <c r="G52" s="399">
        <f>G43*8.33%</f>
        <v>289.23176100000001</v>
      </c>
      <c r="H52" s="224">
        <f>H43*8.33%</f>
        <v>306.64146099999999</v>
      </c>
      <c r="I52" s="334"/>
      <c r="J52" s="214"/>
    </row>
    <row r="53" spans="2:1018" ht="16.5" customHeight="1" x14ac:dyDescent="0.25">
      <c r="B53" s="222" t="s">
        <v>229</v>
      </c>
      <c r="C53" s="344" t="s">
        <v>277</v>
      </c>
      <c r="D53" s="317"/>
      <c r="E53" s="317"/>
      <c r="F53" s="317"/>
      <c r="G53" s="399">
        <f>G43*12.1%</f>
        <v>420.13256999999999</v>
      </c>
      <c r="H53" s="224">
        <f>H43*12.1%</f>
        <v>445.42156999999997</v>
      </c>
      <c r="I53" s="334"/>
      <c r="J53" s="214"/>
    </row>
    <row r="54" spans="2:1018" ht="16.5" customHeight="1" x14ac:dyDescent="0.25">
      <c r="B54" s="325" t="s">
        <v>44</v>
      </c>
      <c r="C54" s="353"/>
      <c r="D54" s="353"/>
      <c r="E54" s="354"/>
      <c r="F54" s="354"/>
      <c r="G54" s="401">
        <f>ROUND(SUM(G52:G53),2)</f>
        <v>709.36</v>
      </c>
      <c r="H54" s="246">
        <f>ROUND(SUM(H52:H53),2)</f>
        <v>752.06</v>
      </c>
      <c r="I54" s="349"/>
      <c r="J54" s="214"/>
    </row>
    <row r="57" spans="2:1018" ht="31.5" customHeight="1" x14ac:dyDescent="0.25">
      <c r="B57" s="352" t="s">
        <v>278</v>
      </c>
      <c r="C57" s="247"/>
      <c r="D57" s="247"/>
      <c r="E57" s="247"/>
      <c r="F57" s="247"/>
      <c r="G57" s="247"/>
      <c r="H57" s="247"/>
      <c r="I57" s="88"/>
    </row>
    <row r="59" spans="2:1018" ht="33.6" customHeight="1" x14ac:dyDescent="0.25">
      <c r="E59" s="88"/>
      <c r="F59" s="398"/>
      <c r="G59" s="239" t="str">
        <f>G50</f>
        <v>Enfermeira – Aud. Interna</v>
      </c>
      <c r="H59" s="239" t="str">
        <f>H50</f>
        <v>Enfermeira - Aud. Externa</v>
      </c>
      <c r="I59" s="332"/>
      <c r="AMD59"/>
    </row>
    <row r="60" spans="2:1018" ht="21.75" customHeight="1" x14ac:dyDescent="0.25">
      <c r="B60" s="227" t="s">
        <v>279</v>
      </c>
      <c r="C60" s="356" t="s">
        <v>280</v>
      </c>
      <c r="D60" s="343"/>
      <c r="E60" s="221"/>
      <c r="F60" s="357" t="s">
        <v>281</v>
      </c>
      <c r="G60" s="398" t="s">
        <v>263</v>
      </c>
      <c r="H60" s="221" t="s">
        <v>263</v>
      </c>
      <c r="I60" s="88"/>
      <c r="AMD60"/>
    </row>
    <row r="61" spans="2:1018" x14ac:dyDescent="0.25">
      <c r="B61" s="222" t="s">
        <v>227</v>
      </c>
      <c r="C61" s="358" t="s">
        <v>282</v>
      </c>
      <c r="D61" s="359"/>
      <c r="E61" s="248"/>
      <c r="F61" s="360">
        <v>0.2</v>
      </c>
      <c r="G61" s="224">
        <f t="shared" ref="G61:G68" si="0">($G$54+$G$43)*F61</f>
        <v>836.30600000000004</v>
      </c>
      <c r="H61" s="224">
        <f t="shared" ref="H61:H68" si="1">($H$54+$H$43)*F61</f>
        <v>886.64599999999996</v>
      </c>
      <c r="I61" s="334"/>
      <c r="AMD61"/>
    </row>
    <row r="62" spans="2:1018" x14ac:dyDescent="0.25">
      <c r="B62" s="222" t="s">
        <v>229</v>
      </c>
      <c r="C62" s="358" t="s">
        <v>283</v>
      </c>
      <c r="D62" s="359"/>
      <c r="E62" s="248"/>
      <c r="F62" s="360">
        <v>2.5000000000000001E-2</v>
      </c>
      <c r="G62" s="224">
        <f t="shared" si="0"/>
        <v>104.53825000000001</v>
      </c>
      <c r="H62" s="224">
        <f t="shared" si="1"/>
        <v>110.83074999999999</v>
      </c>
      <c r="I62" s="334"/>
      <c r="AMD62"/>
    </row>
    <row r="63" spans="2:1018" x14ac:dyDescent="0.25">
      <c r="B63" s="222" t="s">
        <v>232</v>
      </c>
      <c r="C63" s="358" t="s">
        <v>284</v>
      </c>
      <c r="D63" s="359"/>
      <c r="E63" s="248"/>
      <c r="F63" s="360">
        <v>0.01</v>
      </c>
      <c r="G63" s="224">
        <f t="shared" si="0"/>
        <v>41.815300000000001</v>
      </c>
      <c r="H63" s="224">
        <f t="shared" si="1"/>
        <v>44.332299999999996</v>
      </c>
      <c r="I63" s="334"/>
      <c r="AMD63"/>
    </row>
    <row r="64" spans="2:1018" x14ac:dyDescent="0.25">
      <c r="B64" s="222" t="s">
        <v>234</v>
      </c>
      <c r="C64" s="361" t="s">
        <v>285</v>
      </c>
      <c r="D64" s="359"/>
      <c r="E64" s="248"/>
      <c r="F64" s="360">
        <v>1.4999999999999999E-2</v>
      </c>
      <c r="G64" s="224">
        <f t="shared" si="0"/>
        <v>62.722949999999997</v>
      </c>
      <c r="H64" s="224">
        <f t="shared" si="1"/>
        <v>66.498449999999991</v>
      </c>
      <c r="I64" s="334"/>
      <c r="AMD64"/>
    </row>
    <row r="65" spans="2:1018" x14ac:dyDescent="0.25">
      <c r="B65" s="222" t="s">
        <v>267</v>
      </c>
      <c r="C65" s="358" t="s">
        <v>286</v>
      </c>
      <c r="D65" s="359"/>
      <c r="E65" s="248"/>
      <c r="F65" s="360">
        <v>0.01</v>
      </c>
      <c r="G65" s="224">
        <f t="shared" si="0"/>
        <v>41.815300000000001</v>
      </c>
      <c r="H65" s="224">
        <f t="shared" si="1"/>
        <v>44.332299999999996</v>
      </c>
      <c r="I65" s="334"/>
      <c r="AMD65"/>
    </row>
    <row r="66" spans="2:1018" x14ac:dyDescent="0.25">
      <c r="B66" s="222" t="s">
        <v>269</v>
      </c>
      <c r="C66" s="358" t="s">
        <v>64</v>
      </c>
      <c r="D66" s="359"/>
      <c r="E66" s="248"/>
      <c r="F66" s="360">
        <v>6.0000000000000001E-3</v>
      </c>
      <c r="G66" s="224">
        <f t="shared" si="0"/>
        <v>25.089179999999999</v>
      </c>
      <c r="H66" s="224">
        <f t="shared" si="1"/>
        <v>26.599379999999996</v>
      </c>
      <c r="I66" s="334"/>
      <c r="AMD66"/>
    </row>
    <row r="67" spans="2:1018" x14ac:dyDescent="0.25">
      <c r="B67" s="222" t="s">
        <v>270</v>
      </c>
      <c r="C67" s="358" t="s">
        <v>65</v>
      </c>
      <c r="D67" s="359"/>
      <c r="E67" s="248"/>
      <c r="F67" s="360">
        <v>2E-3</v>
      </c>
      <c r="G67" s="224">
        <f t="shared" si="0"/>
        <v>8.3630599999999991</v>
      </c>
      <c r="H67" s="224">
        <f t="shared" si="1"/>
        <v>8.86646</v>
      </c>
      <c r="I67" s="334"/>
      <c r="AMD67"/>
    </row>
    <row r="68" spans="2:1018" x14ac:dyDescent="0.25">
      <c r="B68" s="222" t="s">
        <v>287</v>
      </c>
      <c r="C68" s="358" t="s">
        <v>66</v>
      </c>
      <c r="D68" s="359"/>
      <c r="E68" s="248"/>
      <c r="F68" s="360">
        <v>0.08</v>
      </c>
      <c r="G68" s="224">
        <f t="shared" si="0"/>
        <v>334.5224</v>
      </c>
      <c r="H68" s="224">
        <f t="shared" si="1"/>
        <v>354.65839999999997</v>
      </c>
      <c r="I68" s="334"/>
      <c r="AMD68"/>
    </row>
    <row r="69" spans="2:1018" ht="24" customHeight="1" x14ac:dyDescent="0.25">
      <c r="B69" s="362" t="s">
        <v>288</v>
      </c>
      <c r="C69" s="343"/>
      <c r="D69" s="363"/>
      <c r="E69" s="364"/>
      <c r="F69" s="365">
        <f>SUM(F61:F68)</f>
        <v>0.34800000000000003</v>
      </c>
      <c r="G69" s="401">
        <f>ROUND(SUM(G61:G68),2)</f>
        <v>1455.17</v>
      </c>
      <c r="H69" s="246">
        <f>ROUND(SUM(H61:H68),2)</f>
        <v>1542.76</v>
      </c>
      <c r="I69" s="349"/>
      <c r="AMD69"/>
    </row>
    <row r="72" spans="2:1018" x14ac:dyDescent="0.25">
      <c r="B72" s="352" t="s">
        <v>289</v>
      </c>
      <c r="C72" s="245"/>
      <c r="D72" s="245"/>
      <c r="E72" s="245"/>
      <c r="F72" s="245"/>
      <c r="G72" s="245"/>
      <c r="H72" s="245"/>
      <c r="I72" s="46"/>
    </row>
    <row r="74" spans="2:1018" ht="31.15" customHeight="1" x14ac:dyDescent="0.25">
      <c r="C74" s="256"/>
      <c r="D74" s="256"/>
      <c r="E74" s="88"/>
      <c r="F74" s="88"/>
      <c r="G74" s="365" t="str">
        <f>G59</f>
        <v>Enfermeira – Aud. Interna</v>
      </c>
      <c r="H74" s="239" t="str">
        <f>H59</f>
        <v>Enfermeira - Aud. Externa</v>
      </c>
      <c r="I74" s="332"/>
    </row>
    <row r="75" spans="2:1018" ht="16.5" customHeight="1" x14ac:dyDescent="0.25">
      <c r="B75" s="227" t="s">
        <v>290</v>
      </c>
      <c r="C75" s="342" t="s">
        <v>291</v>
      </c>
      <c r="D75" s="343"/>
      <c r="E75" s="343"/>
      <c r="F75" s="343"/>
      <c r="G75" s="402" t="s">
        <v>263</v>
      </c>
      <c r="H75" s="250" t="s">
        <v>263</v>
      </c>
      <c r="I75" s="366"/>
      <c r="J75" s="214"/>
    </row>
    <row r="76" spans="2:1018" ht="16.5" customHeight="1" x14ac:dyDescent="0.25">
      <c r="B76" s="222" t="s">
        <v>227</v>
      </c>
      <c r="C76" s="344" t="s">
        <v>292</v>
      </c>
      <c r="D76" s="317"/>
      <c r="E76" s="317"/>
      <c r="F76" s="317"/>
      <c r="G76" s="403" t="str">
        <f>IF((4.2*2*22)-G36*0.06&lt;0,"0",(4.2*2*22)-G36*0.06)</f>
        <v>0</v>
      </c>
      <c r="H76" s="251" t="str">
        <f>IF((4.2*2*22)-H36*0.06&lt;0,"0",(4.2*2*22)-H36*0.06)</f>
        <v>0</v>
      </c>
      <c r="I76" s="367"/>
      <c r="J76" s="214"/>
    </row>
    <row r="77" spans="2:1018" ht="16.5" customHeight="1" x14ac:dyDescent="0.25">
      <c r="B77" s="222" t="s">
        <v>229</v>
      </c>
      <c r="C77" s="344" t="s">
        <v>293</v>
      </c>
      <c r="D77" s="317"/>
      <c r="E77" s="317"/>
      <c r="F77" s="317"/>
      <c r="G77" s="403">
        <f>(18*22)-20%*18*22</f>
        <v>316.8</v>
      </c>
      <c r="H77" s="403">
        <f>(18*22)-20%*18*22</f>
        <v>316.8</v>
      </c>
      <c r="I77" s="367"/>
      <c r="J77" s="214"/>
    </row>
    <row r="78" spans="2:1018" ht="16.5" customHeight="1" x14ac:dyDescent="0.25">
      <c r="B78" s="222" t="s">
        <v>232</v>
      </c>
      <c r="C78" s="344" t="s">
        <v>380</v>
      </c>
      <c r="D78" s="317"/>
      <c r="E78" s="317"/>
      <c r="F78" s="317"/>
      <c r="G78" s="403"/>
      <c r="H78" s="251"/>
      <c r="I78" s="367"/>
      <c r="J78" s="214"/>
    </row>
    <row r="79" spans="2:1018" ht="16.5" customHeight="1" x14ac:dyDescent="0.25">
      <c r="B79" s="222" t="s">
        <v>234</v>
      </c>
      <c r="C79" s="344" t="s">
        <v>381</v>
      </c>
      <c r="D79" s="317"/>
      <c r="E79" s="317"/>
      <c r="F79" s="317"/>
      <c r="G79" s="403"/>
      <c r="H79" s="251"/>
      <c r="I79" s="367"/>
      <c r="J79" s="214"/>
    </row>
    <row r="80" spans="2:1018" hidden="1" x14ac:dyDescent="0.25">
      <c r="B80" s="222" t="s">
        <v>267</v>
      </c>
      <c r="C80" s="304"/>
      <c r="D80" s="304"/>
      <c r="E80" s="251"/>
      <c r="F80" s="251"/>
      <c r="G80" s="403"/>
      <c r="H80" s="251"/>
      <c r="I80" s="367"/>
      <c r="J80" s="214"/>
    </row>
    <row r="81" spans="2:16" hidden="1" x14ac:dyDescent="0.25">
      <c r="B81" s="222" t="s">
        <v>269</v>
      </c>
      <c r="C81" s="304"/>
      <c r="D81" s="304"/>
      <c r="E81" s="251"/>
      <c r="F81" s="251"/>
      <c r="G81" s="403"/>
      <c r="H81" s="251"/>
      <c r="I81" s="367"/>
      <c r="J81" s="214"/>
      <c r="K81" s="214"/>
      <c r="L81" s="214"/>
      <c r="M81" s="214"/>
      <c r="N81" s="214"/>
      <c r="O81" s="214"/>
    </row>
    <row r="82" spans="2:16" hidden="1" x14ac:dyDescent="0.25">
      <c r="B82" s="222" t="s">
        <v>270</v>
      </c>
      <c r="C82" s="304"/>
      <c r="D82" s="304"/>
      <c r="E82" s="251"/>
      <c r="F82" s="251"/>
      <c r="G82" s="403"/>
      <c r="H82" s="251"/>
      <c r="I82" s="367"/>
      <c r="J82" s="214"/>
      <c r="K82" s="214"/>
      <c r="L82" s="214"/>
      <c r="M82" s="214"/>
      <c r="N82" s="214"/>
      <c r="O82" s="214"/>
    </row>
    <row r="83" spans="2:16" hidden="1" x14ac:dyDescent="0.25">
      <c r="B83" s="222" t="s">
        <v>287</v>
      </c>
      <c r="C83" s="304"/>
      <c r="D83" s="304"/>
      <c r="E83" s="251"/>
      <c r="F83" s="251"/>
      <c r="G83" s="403"/>
      <c r="H83" s="251"/>
      <c r="I83" s="367"/>
      <c r="J83" s="214"/>
      <c r="K83" s="214"/>
      <c r="L83" s="214"/>
      <c r="M83" s="214"/>
      <c r="N83" s="214"/>
      <c r="O83" s="214"/>
    </row>
    <row r="84" spans="2:16" ht="16.5" customHeight="1" x14ac:dyDescent="0.25">
      <c r="B84" s="325" t="s">
        <v>44</v>
      </c>
      <c r="C84" s="353"/>
      <c r="D84" s="353"/>
      <c r="E84" s="354"/>
      <c r="F84" s="354"/>
      <c r="G84" s="404">
        <f>ROUND(SUM(G76:G79),2)</f>
        <v>316.8</v>
      </c>
      <c r="H84" s="263">
        <f>ROUND(SUM(H76:H79),2)</f>
        <v>316.8</v>
      </c>
      <c r="I84" s="368"/>
      <c r="J84" s="214"/>
      <c r="K84" s="214"/>
      <c r="L84" s="214"/>
      <c r="M84" s="214"/>
      <c r="N84" s="214"/>
      <c r="O84" s="214"/>
    </row>
    <row r="85" spans="2:16" x14ac:dyDescent="0.25">
      <c r="J85" s="214"/>
      <c r="K85" s="214"/>
      <c r="L85" s="214"/>
      <c r="M85" s="214"/>
      <c r="N85" s="214"/>
    </row>
    <row r="86" spans="2:16" x14ac:dyDescent="0.25">
      <c r="J86" s="214"/>
      <c r="K86" s="214"/>
      <c r="L86" s="214"/>
      <c r="M86" s="214"/>
      <c r="N86" s="214"/>
    </row>
    <row r="87" spans="2:16" x14ac:dyDescent="0.25">
      <c r="B87" s="352" t="s">
        <v>301</v>
      </c>
      <c r="C87" s="245"/>
      <c r="D87" s="245"/>
      <c r="E87" s="245"/>
      <c r="F87" s="245"/>
      <c r="G87" s="245"/>
      <c r="H87" s="245"/>
      <c r="I87" s="46"/>
      <c r="J87" s="214"/>
      <c r="K87" s="214"/>
      <c r="L87" s="214"/>
      <c r="M87" s="214"/>
      <c r="N87" s="214"/>
    </row>
    <row r="88" spans="2:16" x14ac:dyDescent="0.25">
      <c r="J88" s="214"/>
      <c r="K88" s="214"/>
      <c r="L88" s="214"/>
      <c r="M88" s="214"/>
      <c r="N88" s="214"/>
    </row>
    <row r="89" spans="2:16" ht="32.25" customHeight="1" x14ac:dyDescent="0.25">
      <c r="C89" s="256"/>
      <c r="D89" s="256"/>
      <c r="E89" s="88"/>
      <c r="F89" s="88"/>
      <c r="G89" s="365" t="str">
        <f>G74</f>
        <v>Enfermeira – Aud. Interna</v>
      </c>
      <c r="H89" s="239" t="str">
        <f>H74</f>
        <v>Enfermeira - Aud. Externa</v>
      </c>
      <c r="I89" s="332"/>
      <c r="J89" s="214"/>
      <c r="K89" s="214"/>
      <c r="L89" s="214"/>
      <c r="M89" s="214"/>
      <c r="N89" s="405"/>
      <c r="O89" s="406"/>
      <c r="P89" s="407"/>
    </row>
    <row r="90" spans="2:16" ht="16.5" customHeight="1" x14ac:dyDescent="0.25">
      <c r="B90" s="227">
        <v>2</v>
      </c>
      <c r="C90" s="342" t="s">
        <v>302</v>
      </c>
      <c r="D90" s="343"/>
      <c r="E90" s="343"/>
      <c r="F90" s="343"/>
      <c r="G90" s="398" t="s">
        <v>263</v>
      </c>
      <c r="H90" s="221" t="s">
        <v>263</v>
      </c>
      <c r="I90" s="88"/>
      <c r="J90" s="214"/>
      <c r="K90" s="214"/>
      <c r="L90" s="214"/>
      <c r="M90" s="214"/>
      <c r="N90" s="214"/>
      <c r="O90" s="214"/>
    </row>
    <row r="91" spans="2:16" ht="21" customHeight="1" x14ac:dyDescent="0.25">
      <c r="B91" s="222" t="s">
        <v>274</v>
      </c>
      <c r="C91" s="344" t="s">
        <v>275</v>
      </c>
      <c r="D91" s="317"/>
      <c r="E91" s="317"/>
      <c r="F91" s="317"/>
      <c r="G91" s="399">
        <f>G54</f>
        <v>709.36</v>
      </c>
      <c r="H91" s="224">
        <f>H54</f>
        <v>752.06</v>
      </c>
      <c r="I91" s="334"/>
      <c r="J91" s="214"/>
      <c r="K91" s="214"/>
      <c r="L91" s="214"/>
      <c r="M91" s="214"/>
      <c r="N91" s="214"/>
      <c r="O91" s="214"/>
    </row>
    <row r="92" spans="2:16" ht="16.5" customHeight="1" x14ac:dyDescent="0.25">
      <c r="B92" s="222" t="s">
        <v>279</v>
      </c>
      <c r="C92" s="344" t="s">
        <v>280</v>
      </c>
      <c r="D92" s="317"/>
      <c r="E92" s="317"/>
      <c r="F92" s="317"/>
      <c r="G92" s="399">
        <f>G69</f>
        <v>1455.17</v>
      </c>
      <c r="H92" s="224">
        <f>H69</f>
        <v>1542.76</v>
      </c>
      <c r="I92" s="334"/>
      <c r="J92" s="214"/>
      <c r="K92" s="214"/>
      <c r="L92" s="214"/>
      <c r="M92" s="214"/>
      <c r="N92" s="214"/>
      <c r="O92" s="214"/>
    </row>
    <row r="93" spans="2:16" ht="16.5" customHeight="1" x14ac:dyDescent="0.25">
      <c r="B93" s="222" t="s">
        <v>290</v>
      </c>
      <c r="C93" s="344" t="s">
        <v>291</v>
      </c>
      <c r="D93" s="317"/>
      <c r="E93" s="317"/>
      <c r="F93" s="317"/>
      <c r="G93" s="399">
        <f>G84</f>
        <v>316.8</v>
      </c>
      <c r="H93" s="224">
        <f>H84</f>
        <v>316.8</v>
      </c>
      <c r="I93" s="334"/>
      <c r="J93" s="214"/>
      <c r="K93" s="214"/>
      <c r="L93" s="214"/>
      <c r="M93" s="214"/>
      <c r="N93" s="214"/>
      <c r="O93" s="214"/>
    </row>
    <row r="94" spans="2:16" ht="16.5" customHeight="1" x14ac:dyDescent="0.25">
      <c r="B94" s="345" t="s">
        <v>44</v>
      </c>
      <c r="C94" s="346"/>
      <c r="D94" s="346"/>
      <c r="E94" s="347"/>
      <c r="F94" s="347"/>
      <c r="G94" s="400">
        <f>ROUND(SUM(G91:G93),2)</f>
        <v>2481.33</v>
      </c>
      <c r="H94" s="243">
        <f>ROUND(SUM(H91:H93),2)</f>
        <v>2611.62</v>
      </c>
      <c r="I94" s="349"/>
      <c r="J94" s="214"/>
      <c r="K94" s="214"/>
      <c r="L94" s="214"/>
      <c r="M94" s="214"/>
      <c r="N94" s="214"/>
      <c r="O94" s="214"/>
    </row>
    <row r="95" spans="2:16" x14ac:dyDescent="0.25">
      <c r="B95" s="89"/>
      <c r="J95" s="214"/>
      <c r="K95" s="214"/>
      <c r="L95" s="214"/>
      <c r="M95" s="214"/>
      <c r="N95" s="214"/>
    </row>
    <row r="96" spans="2:16" x14ac:dyDescent="0.25">
      <c r="J96" s="214"/>
      <c r="K96" s="214"/>
      <c r="L96" s="214"/>
      <c r="M96" s="214"/>
      <c r="N96" s="214"/>
    </row>
    <row r="97" spans="2:15" x14ac:dyDescent="0.25">
      <c r="B97" s="369" t="s">
        <v>303</v>
      </c>
      <c r="C97" s="255"/>
      <c r="D97" s="255"/>
      <c r="E97" s="255"/>
      <c r="F97" s="255"/>
      <c r="G97" s="255"/>
      <c r="H97" s="255"/>
      <c r="I97" s="370"/>
      <c r="J97" s="214"/>
      <c r="K97" s="214"/>
      <c r="L97" s="214"/>
      <c r="M97" s="214"/>
      <c r="N97" s="214"/>
    </row>
    <row r="98" spans="2:15" x14ac:dyDescent="0.25">
      <c r="B98" s="256"/>
      <c r="C98" s="256"/>
      <c r="D98" s="256"/>
      <c r="E98" s="256"/>
      <c r="F98" s="256"/>
      <c r="J98" s="214"/>
      <c r="K98" s="214"/>
      <c r="L98" s="214"/>
      <c r="M98" s="214"/>
      <c r="N98" s="214"/>
    </row>
    <row r="99" spans="2:15" ht="32.25" customHeight="1" x14ac:dyDescent="0.25">
      <c r="B99" s="256"/>
      <c r="C99" s="256"/>
      <c r="D99" s="256"/>
      <c r="E99" s="88"/>
      <c r="F99" s="88"/>
      <c r="G99" s="365" t="str">
        <f>G89</f>
        <v>Enfermeira – Aud. Interna</v>
      </c>
      <c r="H99" s="239" t="str">
        <f>H89</f>
        <v>Enfermeira - Aud. Externa</v>
      </c>
      <c r="I99" s="332"/>
      <c r="J99" s="214"/>
      <c r="K99" s="214"/>
      <c r="L99" s="214"/>
      <c r="M99" s="214"/>
      <c r="N99" s="214"/>
    </row>
    <row r="100" spans="2:15" ht="16.5" customHeight="1" x14ac:dyDescent="0.25">
      <c r="B100" s="257">
        <v>3</v>
      </c>
      <c r="C100" s="342" t="s">
        <v>304</v>
      </c>
      <c r="D100" s="343"/>
      <c r="E100" s="343"/>
      <c r="F100" s="343"/>
      <c r="G100" s="402" t="s">
        <v>263</v>
      </c>
      <c r="H100" s="250" t="s">
        <v>263</v>
      </c>
      <c r="I100" s="366"/>
      <c r="J100" s="214"/>
      <c r="K100" s="214"/>
      <c r="L100" s="214"/>
      <c r="M100" s="214"/>
      <c r="N100" s="214"/>
      <c r="O100" s="214"/>
    </row>
    <row r="101" spans="2:15" ht="16.5" customHeight="1" x14ac:dyDescent="0.25">
      <c r="B101" s="258" t="s">
        <v>227</v>
      </c>
      <c r="C101" s="344" t="s">
        <v>305</v>
      </c>
      <c r="D101" s="317"/>
      <c r="E101" s="317"/>
      <c r="F101" s="317"/>
      <c r="G101" s="403">
        <f>(G43/12)*0.05</f>
        <v>14.467375000000002</v>
      </c>
      <c r="H101" s="251">
        <f>(H43/12)*0.05</f>
        <v>15.338208333333334</v>
      </c>
      <c r="I101" s="367"/>
      <c r="J101" s="214"/>
      <c r="K101" s="214"/>
      <c r="L101" s="214"/>
      <c r="M101" s="214"/>
      <c r="N101" s="214"/>
      <c r="O101" s="214"/>
    </row>
    <row r="102" spans="2:15" ht="16.5" customHeight="1" x14ac:dyDescent="0.25">
      <c r="B102" s="258" t="s">
        <v>229</v>
      </c>
      <c r="C102" s="344" t="s">
        <v>306</v>
      </c>
      <c r="D102" s="317"/>
      <c r="E102" s="317"/>
      <c r="F102" s="317"/>
      <c r="G102" s="403">
        <f>G101*8%</f>
        <v>1.1573900000000001</v>
      </c>
      <c r="H102" s="251">
        <f>H101*8%</f>
        <v>1.2270566666666667</v>
      </c>
      <c r="I102" s="367"/>
      <c r="J102" s="214"/>
      <c r="K102" s="214"/>
      <c r="L102" s="214"/>
      <c r="M102" s="214"/>
      <c r="N102" s="214"/>
      <c r="O102" s="214"/>
    </row>
    <row r="103" spans="2:15" ht="30.75" customHeight="1" x14ac:dyDescent="0.25">
      <c r="B103" s="258" t="s">
        <v>232</v>
      </c>
      <c r="C103" s="344" t="s">
        <v>382</v>
      </c>
      <c r="D103" s="317"/>
      <c r="E103" s="317"/>
      <c r="F103" s="317"/>
      <c r="G103" s="408"/>
      <c r="H103" s="261"/>
      <c r="I103" s="371"/>
      <c r="J103" s="214"/>
      <c r="K103" s="214"/>
      <c r="L103" s="214"/>
      <c r="M103" s="214"/>
      <c r="N103" s="214"/>
      <c r="O103" s="214"/>
    </row>
    <row r="104" spans="2:15" ht="28.5" customHeight="1" x14ac:dyDescent="0.25">
      <c r="B104" s="258" t="s">
        <v>234</v>
      </c>
      <c r="C104" s="344" t="s">
        <v>308</v>
      </c>
      <c r="D104" s="317"/>
      <c r="E104" s="317"/>
      <c r="F104" s="317"/>
      <c r="G104" s="403">
        <f>(((G43/30)/12)*7)*95%</f>
        <v>64.138695833333344</v>
      </c>
      <c r="H104" s="251">
        <f>(((H43/30)/12)*7)*95%</f>
        <v>67.999390277777778</v>
      </c>
      <c r="I104" s="367"/>
      <c r="J104" s="214"/>
      <c r="K104" s="214"/>
      <c r="L104" s="214"/>
      <c r="M104" s="214"/>
      <c r="N104" s="214"/>
      <c r="O104" s="214"/>
    </row>
    <row r="105" spans="2:15" ht="30.75" customHeight="1" x14ac:dyDescent="0.25">
      <c r="B105" s="372" t="s">
        <v>267</v>
      </c>
      <c r="C105" s="373" t="s">
        <v>309</v>
      </c>
      <c r="D105" s="317"/>
      <c r="E105" s="317"/>
      <c r="F105" s="317"/>
      <c r="G105" s="404">
        <f>G104*$F$69</f>
        <v>22.320266150000005</v>
      </c>
      <c r="H105" s="263">
        <f>H104*$F$69</f>
        <v>23.66378781666667</v>
      </c>
      <c r="I105" s="367"/>
      <c r="J105" s="214"/>
      <c r="K105" s="214"/>
      <c r="L105" s="214"/>
      <c r="M105" s="214"/>
      <c r="N105" s="214"/>
      <c r="O105" s="214"/>
    </row>
    <row r="106" spans="2:15" ht="30.75" customHeight="1" x14ac:dyDescent="0.25">
      <c r="B106" s="258" t="s">
        <v>269</v>
      </c>
      <c r="C106" s="344" t="s">
        <v>383</v>
      </c>
      <c r="D106" s="317"/>
      <c r="E106" s="317"/>
      <c r="F106" s="317"/>
      <c r="G106" s="403">
        <f>4%*G43</f>
        <v>138.88679999999999</v>
      </c>
      <c r="H106" s="251">
        <f>4%*H43</f>
        <v>147.24680000000001</v>
      </c>
      <c r="I106" s="367"/>
      <c r="J106" s="214"/>
      <c r="K106" s="214"/>
      <c r="L106" s="214"/>
      <c r="M106" s="214"/>
      <c r="N106" s="214"/>
      <c r="O106" s="214"/>
    </row>
    <row r="107" spans="2:15" ht="16.5" customHeight="1" x14ac:dyDescent="0.25">
      <c r="B107" s="345" t="s">
        <v>44</v>
      </c>
      <c r="C107" s="346"/>
      <c r="D107" s="346"/>
      <c r="E107" s="347"/>
      <c r="F107" s="347"/>
      <c r="G107" s="409">
        <f>ROUND(SUM(G101:G106),2)</f>
        <v>240.97</v>
      </c>
      <c r="H107" s="253">
        <f>ROUND(SUM(H101:H106),2)</f>
        <v>255.48</v>
      </c>
      <c r="I107" s="368"/>
      <c r="J107" s="214"/>
      <c r="K107" s="214"/>
      <c r="L107" s="214"/>
      <c r="M107" s="214"/>
      <c r="N107" s="214"/>
      <c r="O107" s="214"/>
    </row>
    <row r="108" spans="2:15" x14ac:dyDescent="0.25">
      <c r="J108" s="214"/>
      <c r="K108" s="214"/>
      <c r="L108" s="214"/>
      <c r="M108" s="214"/>
      <c r="N108" s="214"/>
    </row>
    <row r="109" spans="2:15" x14ac:dyDescent="0.25">
      <c r="B109" s="369" t="s">
        <v>311</v>
      </c>
      <c r="C109" s="255"/>
      <c r="D109" s="255"/>
      <c r="E109" s="255"/>
      <c r="F109" s="255"/>
      <c r="G109" s="255"/>
      <c r="H109" s="255"/>
      <c r="I109" s="370"/>
      <c r="J109" s="214"/>
      <c r="K109" s="214"/>
      <c r="L109" s="214"/>
      <c r="M109" s="214"/>
      <c r="N109" s="214"/>
    </row>
    <row r="110" spans="2:15" x14ac:dyDescent="0.25">
      <c r="B110" s="374"/>
      <c r="C110" s="256"/>
      <c r="D110" s="256"/>
      <c r="E110" s="256"/>
      <c r="F110" s="256"/>
      <c r="G110" s="264"/>
      <c r="H110" s="264"/>
      <c r="I110" s="264"/>
      <c r="J110" s="214"/>
      <c r="K110" s="214"/>
      <c r="L110" s="214"/>
      <c r="M110" s="214"/>
      <c r="N110" s="214"/>
    </row>
    <row r="111" spans="2:15" x14ac:dyDescent="0.25">
      <c r="B111" s="375" t="s">
        <v>313</v>
      </c>
      <c r="C111" s="265"/>
      <c r="D111" s="265"/>
      <c r="E111" s="265"/>
      <c r="F111" s="265"/>
      <c r="G111" s="265"/>
      <c r="H111" s="265"/>
      <c r="I111" s="157"/>
      <c r="J111" s="214"/>
      <c r="K111" s="214"/>
      <c r="L111" s="214"/>
      <c r="M111" s="214"/>
      <c r="N111" s="214"/>
    </row>
    <row r="112" spans="2:15" x14ac:dyDescent="0.25">
      <c r="B112" s="266"/>
      <c r="C112" s="267"/>
      <c r="D112" s="267"/>
      <c r="E112" s="256"/>
      <c r="F112" s="256"/>
      <c r="G112" s="264"/>
      <c r="H112" s="264"/>
      <c r="I112" s="264"/>
      <c r="J112" s="214"/>
      <c r="K112" s="214"/>
      <c r="L112" s="214"/>
      <c r="M112" s="214"/>
      <c r="N112" s="214"/>
    </row>
    <row r="113" spans="2:15" ht="31.5" x14ac:dyDescent="0.25">
      <c r="B113" s="266"/>
      <c r="C113" s="256"/>
      <c r="D113" s="256"/>
      <c r="E113" s="88"/>
      <c r="F113" s="88"/>
      <c r="G113" s="365" t="str">
        <f>G99</f>
        <v>Enfermeira – Aud. Interna</v>
      </c>
      <c r="H113" s="239" t="str">
        <f>H99</f>
        <v>Enfermeira - Aud. Externa</v>
      </c>
      <c r="I113" s="332"/>
      <c r="J113" s="214"/>
      <c r="K113" s="214"/>
      <c r="L113" s="214"/>
      <c r="M113" s="214"/>
      <c r="N113" s="214"/>
    </row>
    <row r="114" spans="2:15" ht="16.5" customHeight="1" x14ac:dyDescent="0.25">
      <c r="B114" s="257" t="s">
        <v>314</v>
      </c>
      <c r="C114" s="342" t="s">
        <v>315</v>
      </c>
      <c r="D114" s="343"/>
      <c r="E114" s="343"/>
      <c r="F114" s="343"/>
      <c r="G114" s="402" t="s">
        <v>263</v>
      </c>
      <c r="H114" s="250" t="s">
        <v>263</v>
      </c>
      <c r="I114" s="366"/>
      <c r="J114" s="214"/>
      <c r="K114" s="214"/>
      <c r="L114" s="214"/>
      <c r="M114" s="214"/>
      <c r="N114" s="214"/>
      <c r="O114" s="214"/>
    </row>
    <row r="115" spans="2:15" ht="16.5" customHeight="1" x14ac:dyDescent="0.25">
      <c r="B115" s="258" t="s">
        <v>227</v>
      </c>
      <c r="C115" s="344" t="s">
        <v>384</v>
      </c>
      <c r="D115" s="317"/>
      <c r="E115" s="317"/>
      <c r="F115" s="317"/>
      <c r="G115" s="403"/>
      <c r="H115" s="251"/>
      <c r="I115" s="367"/>
      <c r="J115" s="214"/>
      <c r="K115" s="214"/>
      <c r="L115" s="214"/>
      <c r="M115" s="214"/>
      <c r="N115" s="214"/>
      <c r="O115" s="214"/>
    </row>
    <row r="116" spans="2:15" ht="16.5" customHeight="1" x14ac:dyDescent="0.25">
      <c r="B116" s="258" t="s">
        <v>229</v>
      </c>
      <c r="C116" s="344" t="s">
        <v>385</v>
      </c>
      <c r="D116" s="317"/>
      <c r="E116" s="317"/>
      <c r="F116" s="317"/>
      <c r="G116" s="403">
        <f>0.28%*G43</f>
        <v>9.7220760000000013</v>
      </c>
      <c r="H116" s="251">
        <f>0.28%*H43</f>
        <v>10.307276000000002</v>
      </c>
      <c r="I116" s="367"/>
      <c r="J116" s="214"/>
      <c r="K116" s="214"/>
      <c r="L116" s="214"/>
      <c r="M116" s="214"/>
      <c r="N116" s="214"/>
      <c r="O116" s="214"/>
    </row>
    <row r="117" spans="2:15" ht="16.5" customHeight="1" x14ac:dyDescent="0.25">
      <c r="B117" s="258" t="s">
        <v>232</v>
      </c>
      <c r="C117" s="344" t="s">
        <v>386</v>
      </c>
      <c r="D117" s="317"/>
      <c r="E117" s="317"/>
      <c r="F117" s="317"/>
      <c r="G117" s="403">
        <f>0.02%*G43</f>
        <v>0.694434</v>
      </c>
      <c r="H117" s="251">
        <f>0.02%*H43</f>
        <v>0.73623400000000006</v>
      </c>
      <c r="I117" s="367"/>
      <c r="J117" s="214"/>
      <c r="K117" s="214"/>
      <c r="L117" s="214"/>
      <c r="M117" s="214"/>
      <c r="N117" s="214"/>
      <c r="O117" s="214"/>
    </row>
    <row r="118" spans="2:15" ht="16.5" customHeight="1" x14ac:dyDescent="0.25">
      <c r="B118" s="258" t="s">
        <v>234</v>
      </c>
      <c r="C118" s="344" t="s">
        <v>387</v>
      </c>
      <c r="D118" s="317"/>
      <c r="E118" s="317"/>
      <c r="F118" s="317"/>
      <c r="G118" s="403">
        <f>0.03%*G43</f>
        <v>1.0416509999999999</v>
      </c>
      <c r="H118" s="251">
        <f>0.03%*H43</f>
        <v>1.1043509999999999</v>
      </c>
      <c r="I118" s="367"/>
      <c r="J118" s="214"/>
      <c r="K118" s="214"/>
      <c r="L118" s="214"/>
      <c r="M118" s="214"/>
      <c r="N118" s="214"/>
      <c r="O118" s="214"/>
    </row>
    <row r="119" spans="2:15" ht="16.5" customHeight="1" x14ac:dyDescent="0.25">
      <c r="B119" s="258" t="s">
        <v>267</v>
      </c>
      <c r="C119" s="344" t="s">
        <v>388</v>
      </c>
      <c r="D119" s="317"/>
      <c r="E119" s="317"/>
      <c r="F119" s="317"/>
      <c r="G119" s="403"/>
      <c r="H119" s="251"/>
      <c r="I119" s="367"/>
      <c r="J119" s="214"/>
      <c r="K119" s="214"/>
      <c r="L119" s="214"/>
      <c r="M119" s="214"/>
      <c r="N119" s="214"/>
      <c r="O119" s="214"/>
    </row>
    <row r="120" spans="2:15" ht="16.5" customHeight="1" x14ac:dyDescent="0.25">
      <c r="B120" s="258" t="s">
        <v>269</v>
      </c>
      <c r="C120" s="344" t="s">
        <v>389</v>
      </c>
      <c r="D120" s="317"/>
      <c r="E120" s="317"/>
      <c r="F120" s="317"/>
      <c r="G120" s="403">
        <f>1.66%*G43</f>
        <v>57.638021999999999</v>
      </c>
      <c r="H120" s="251">
        <f>1.66%*H43</f>
        <v>61.107422</v>
      </c>
      <c r="I120" s="367"/>
      <c r="J120" s="214"/>
      <c r="K120" s="214"/>
      <c r="L120" s="214"/>
      <c r="M120" s="214"/>
      <c r="N120" s="214"/>
      <c r="O120" s="214"/>
    </row>
    <row r="121" spans="2:15" ht="16.5" customHeight="1" x14ac:dyDescent="0.25">
      <c r="B121" s="372" t="s">
        <v>270</v>
      </c>
      <c r="C121" s="373" t="s">
        <v>322</v>
      </c>
      <c r="D121" s="300"/>
      <c r="E121" s="300"/>
      <c r="F121" s="300"/>
      <c r="G121" s="404">
        <f>SUM(G115:G120)*$F$69</f>
        <v>24.045471684000002</v>
      </c>
      <c r="H121" s="263">
        <f>SUM(H115:H120)*$F$69</f>
        <v>25.492838484000004</v>
      </c>
      <c r="I121" s="368"/>
      <c r="J121" s="214"/>
      <c r="K121" s="214"/>
      <c r="L121" s="214"/>
      <c r="M121" s="214"/>
      <c r="N121" s="214"/>
      <c r="O121" s="214"/>
    </row>
    <row r="122" spans="2:15" ht="16.5" customHeight="1" x14ac:dyDescent="0.25">
      <c r="B122" s="325" t="s">
        <v>288</v>
      </c>
      <c r="C122" s="353"/>
      <c r="D122" s="353"/>
      <c r="E122" s="354"/>
      <c r="F122" s="354"/>
      <c r="G122" s="404">
        <f>ROUND(SUM(G115:G121),2)</f>
        <v>93.14</v>
      </c>
      <c r="H122" s="263">
        <f>ROUND(SUM(H115:H121),2)</f>
        <v>98.75</v>
      </c>
      <c r="I122" s="368"/>
      <c r="J122" s="214"/>
      <c r="K122" s="214"/>
      <c r="L122" s="214"/>
      <c r="M122" s="214"/>
      <c r="N122" s="214"/>
      <c r="O122" s="214"/>
    </row>
    <row r="123" spans="2:15" x14ac:dyDescent="0.25">
      <c r="G123" s="264"/>
      <c r="H123" s="264"/>
      <c r="I123" s="264"/>
      <c r="J123" s="214"/>
      <c r="K123" s="214"/>
      <c r="L123" s="214"/>
      <c r="M123" s="214"/>
      <c r="N123" s="214"/>
    </row>
    <row r="124" spans="2:15" x14ac:dyDescent="0.25">
      <c r="B124" s="375" t="s">
        <v>390</v>
      </c>
      <c r="C124" s="265"/>
      <c r="D124" s="265"/>
      <c r="E124" s="265"/>
      <c r="F124" s="265"/>
      <c r="G124" s="265"/>
      <c r="H124" s="265"/>
      <c r="I124" s="157"/>
      <c r="J124" s="214"/>
      <c r="K124" s="214"/>
      <c r="L124" s="214"/>
      <c r="M124" s="214"/>
      <c r="N124" s="214"/>
    </row>
    <row r="125" spans="2:15" x14ac:dyDescent="0.25">
      <c r="B125" s="266"/>
      <c r="C125" s="256"/>
      <c r="D125" s="256"/>
      <c r="E125" s="256"/>
      <c r="F125" s="256"/>
      <c r="J125" s="214"/>
      <c r="K125" s="214"/>
      <c r="L125" s="214"/>
      <c r="M125" s="214"/>
      <c r="N125" s="214"/>
    </row>
    <row r="126" spans="2:15" ht="31.5" x14ac:dyDescent="0.25">
      <c r="B126" s="266"/>
      <c r="C126" s="256"/>
      <c r="D126" s="256"/>
      <c r="E126" s="88"/>
      <c r="F126" s="88"/>
      <c r="G126" s="365" t="str">
        <f>G113</f>
        <v>Enfermeira – Aud. Interna</v>
      </c>
      <c r="H126" s="239" t="str">
        <f>H113</f>
        <v>Enfermeira - Aud. Externa</v>
      </c>
      <c r="I126" s="332"/>
      <c r="J126" s="214"/>
      <c r="K126" s="214"/>
      <c r="L126" s="214"/>
      <c r="M126" s="214"/>
      <c r="N126" s="214"/>
    </row>
    <row r="127" spans="2:15" ht="16.5" customHeight="1" x14ac:dyDescent="0.25">
      <c r="B127" s="257" t="s">
        <v>324</v>
      </c>
      <c r="C127" s="342" t="s">
        <v>391</v>
      </c>
      <c r="D127" s="343"/>
      <c r="E127" s="343"/>
      <c r="F127" s="343"/>
      <c r="G127" s="402" t="s">
        <v>263</v>
      </c>
      <c r="H127" s="250" t="s">
        <v>263</v>
      </c>
      <c r="I127" s="366"/>
      <c r="J127" s="214"/>
      <c r="K127" s="214"/>
      <c r="L127" s="214"/>
      <c r="M127" s="214"/>
      <c r="N127" s="214"/>
    </row>
    <row r="128" spans="2:15" ht="16.5" customHeight="1" x14ac:dyDescent="0.25">
      <c r="B128" s="258" t="s">
        <v>227</v>
      </c>
      <c r="C128" s="344" t="s">
        <v>392</v>
      </c>
      <c r="D128" s="317"/>
      <c r="E128" s="317"/>
      <c r="F128" s="317"/>
      <c r="G128" s="399">
        <f>(((G43+G43/3)*(4/12))/12)*0.57%</f>
        <v>0.73301366666666656</v>
      </c>
      <c r="H128" s="224">
        <f>(((H43+H43/3)*(4/12))/12)*0.57%</f>
        <v>0.77713588888888874</v>
      </c>
      <c r="I128" s="366"/>
      <c r="J128" s="214"/>
      <c r="K128" s="214"/>
      <c r="L128" s="214"/>
      <c r="M128" s="214"/>
      <c r="N128" s="214"/>
    </row>
    <row r="129" spans="2:15" ht="32.25" customHeight="1" x14ac:dyDescent="0.25">
      <c r="B129" s="372" t="s">
        <v>229</v>
      </c>
      <c r="C129" s="344" t="s">
        <v>393</v>
      </c>
      <c r="D129" s="317"/>
      <c r="E129" s="317"/>
      <c r="F129" s="317"/>
      <c r="G129" s="404">
        <f>G128*$F$69</f>
        <v>0.25508875599999997</v>
      </c>
      <c r="H129" s="263">
        <f>H128*$F$69</f>
        <v>0.27044328933333328</v>
      </c>
      <c r="I129" s="366"/>
      <c r="J129" s="214"/>
      <c r="K129" s="214"/>
      <c r="L129" s="214"/>
      <c r="M129" s="214"/>
      <c r="N129" s="214"/>
    </row>
    <row r="130" spans="2:15" ht="36" customHeight="1" x14ac:dyDescent="0.25">
      <c r="B130" s="372" t="s">
        <v>232</v>
      </c>
      <c r="C130" s="501" t="s">
        <v>394</v>
      </c>
      <c r="D130" s="501"/>
      <c r="E130" s="501"/>
      <c r="F130" s="501"/>
      <c r="G130" s="404">
        <f>(((G43+G52)*(4/12))*0.57%)*$F$69</f>
        <v>2.4870388443731999</v>
      </c>
      <c r="H130" s="263">
        <f>(((H43+H52)*(4/12))*0.57%)*$F$69</f>
        <v>2.6367409380132001</v>
      </c>
      <c r="I130" s="371"/>
      <c r="J130" s="214"/>
      <c r="K130" s="214"/>
      <c r="L130" s="214"/>
      <c r="M130" s="214"/>
      <c r="N130" s="214"/>
    </row>
    <row r="131" spans="2:15" ht="16.5" customHeight="1" x14ac:dyDescent="0.25">
      <c r="B131" s="325" t="s">
        <v>44</v>
      </c>
      <c r="C131" s="353"/>
      <c r="D131" s="353"/>
      <c r="E131" s="354"/>
      <c r="F131" s="354"/>
      <c r="G131" s="399">
        <f>ROUND(SUM(G128:G130),2)</f>
        <v>3.48</v>
      </c>
      <c r="H131" s="224">
        <f>ROUND(SUM(H128:H130),2)</f>
        <v>3.68</v>
      </c>
      <c r="I131" s="371"/>
      <c r="J131" s="214"/>
      <c r="K131" s="214"/>
      <c r="L131" s="214"/>
      <c r="M131" s="214"/>
      <c r="N131" s="214"/>
    </row>
    <row r="132" spans="2:15" x14ac:dyDescent="0.25">
      <c r="G132" s="264"/>
      <c r="H132" s="264"/>
      <c r="I132" s="264"/>
      <c r="J132" s="214"/>
      <c r="K132" s="214"/>
      <c r="L132" s="214"/>
      <c r="M132" s="214"/>
      <c r="N132" s="214"/>
    </row>
    <row r="133" spans="2:15" x14ac:dyDescent="0.25">
      <c r="G133" s="264"/>
      <c r="H133" s="264"/>
      <c r="I133" s="264"/>
      <c r="J133" s="214"/>
      <c r="K133" s="214"/>
      <c r="L133" s="214"/>
      <c r="M133" s="214"/>
      <c r="N133" s="214"/>
    </row>
    <row r="134" spans="2:15" x14ac:dyDescent="0.25">
      <c r="G134" s="264"/>
      <c r="H134" s="264"/>
      <c r="I134" s="264"/>
      <c r="J134" s="214"/>
      <c r="K134" s="214"/>
      <c r="L134" s="214"/>
      <c r="M134" s="214"/>
      <c r="N134" s="214"/>
    </row>
    <row r="135" spans="2:15" x14ac:dyDescent="0.25">
      <c r="B135" s="375" t="s">
        <v>323</v>
      </c>
      <c r="C135" s="265"/>
      <c r="D135" s="265"/>
      <c r="E135" s="265"/>
      <c r="F135" s="265"/>
      <c r="G135" s="265"/>
      <c r="H135" s="265"/>
      <c r="I135" s="157"/>
      <c r="J135" s="214"/>
      <c r="K135" s="214"/>
      <c r="L135" s="214"/>
      <c r="M135" s="214"/>
      <c r="N135" s="214"/>
    </row>
    <row r="136" spans="2:15" x14ac:dyDescent="0.25">
      <c r="B136" s="266"/>
      <c r="C136" s="256"/>
      <c r="D136" s="256"/>
      <c r="E136" s="256"/>
      <c r="F136" s="256"/>
      <c r="J136" s="214"/>
      <c r="K136" s="214"/>
      <c r="L136" s="214"/>
      <c r="M136" s="214"/>
      <c r="N136" s="214"/>
    </row>
    <row r="137" spans="2:15" ht="31.5" x14ac:dyDescent="0.25">
      <c r="B137" s="266"/>
      <c r="C137" s="256"/>
      <c r="D137" s="256"/>
      <c r="E137" s="88"/>
      <c r="F137" s="88"/>
      <c r="G137" s="365" t="str">
        <f>G113</f>
        <v>Enfermeira – Aud. Interna</v>
      </c>
      <c r="H137" s="239" t="str">
        <f>H113</f>
        <v>Enfermeira - Aud. Externa</v>
      </c>
      <c r="I137" s="332"/>
      <c r="J137" s="214"/>
      <c r="K137" s="214"/>
      <c r="L137" s="214"/>
      <c r="M137" s="214"/>
      <c r="N137" s="214"/>
    </row>
    <row r="138" spans="2:15" ht="16.5" customHeight="1" x14ac:dyDescent="0.25">
      <c r="B138" s="257" t="s">
        <v>324</v>
      </c>
      <c r="C138" s="342" t="s">
        <v>325</v>
      </c>
      <c r="D138" s="343"/>
      <c r="E138" s="343"/>
      <c r="F138" s="343"/>
      <c r="G138" s="402" t="s">
        <v>263</v>
      </c>
      <c r="H138" s="250" t="s">
        <v>263</v>
      </c>
      <c r="I138" s="366"/>
      <c r="J138" s="214"/>
      <c r="K138" s="214"/>
      <c r="L138" s="214"/>
      <c r="M138" s="214"/>
      <c r="N138" s="214"/>
      <c r="O138" s="214"/>
    </row>
    <row r="139" spans="2:15" ht="19.5" customHeight="1" x14ac:dyDescent="0.25">
      <c r="B139" s="258" t="s">
        <v>227</v>
      </c>
      <c r="C139" s="344" t="s">
        <v>395</v>
      </c>
      <c r="D139" s="317"/>
      <c r="E139" s="317"/>
      <c r="F139" s="317"/>
      <c r="G139" s="408"/>
      <c r="H139" s="261"/>
      <c r="I139" s="371"/>
      <c r="J139" s="214"/>
      <c r="K139" s="214"/>
      <c r="L139" s="214"/>
      <c r="M139" s="214"/>
      <c r="N139" s="214"/>
      <c r="O139" s="214"/>
    </row>
    <row r="140" spans="2:15" ht="16.5" customHeight="1" x14ac:dyDescent="0.25">
      <c r="B140" s="325" t="s">
        <v>44</v>
      </c>
      <c r="C140" s="353"/>
      <c r="D140" s="353"/>
      <c r="E140" s="354"/>
      <c r="F140" s="354"/>
      <c r="G140" s="408">
        <f>SUM(G139)</f>
        <v>0</v>
      </c>
      <c r="H140" s="261">
        <f>SUM(H139)</f>
        <v>0</v>
      </c>
      <c r="I140" s="371"/>
      <c r="J140" s="214"/>
      <c r="K140" s="214"/>
      <c r="L140" s="214"/>
      <c r="M140" s="214"/>
      <c r="N140" s="214"/>
      <c r="O140" s="214"/>
    </row>
    <row r="141" spans="2:15" x14ac:dyDescent="0.25">
      <c r="B141" s="273"/>
      <c r="C141" s="273"/>
      <c r="D141" s="273"/>
      <c r="E141" s="273"/>
      <c r="F141" s="273"/>
      <c r="J141" s="214"/>
      <c r="K141" s="214"/>
      <c r="L141" s="214"/>
      <c r="M141" s="214"/>
      <c r="N141" s="214"/>
    </row>
    <row r="142" spans="2:15" x14ac:dyDescent="0.25">
      <c r="B142" s="273"/>
      <c r="C142" s="273"/>
      <c r="D142" s="273"/>
      <c r="E142" s="273"/>
      <c r="F142" s="273"/>
      <c r="J142" s="214"/>
      <c r="K142" s="214"/>
      <c r="L142" s="214"/>
      <c r="M142" s="214"/>
      <c r="N142" s="214"/>
    </row>
    <row r="143" spans="2:15" x14ac:dyDescent="0.25">
      <c r="B143" s="375" t="s">
        <v>327</v>
      </c>
      <c r="C143" s="265"/>
      <c r="D143" s="265"/>
      <c r="E143" s="265"/>
      <c r="F143" s="265"/>
      <c r="G143" s="265"/>
      <c r="H143" s="265"/>
      <c r="I143" s="157"/>
      <c r="J143" s="214"/>
      <c r="K143" s="214"/>
      <c r="L143" s="214"/>
      <c r="M143" s="214"/>
      <c r="N143" s="214"/>
    </row>
    <row r="144" spans="2:15" x14ac:dyDescent="0.25">
      <c r="B144" s="266"/>
      <c r="C144" s="256"/>
      <c r="D144" s="256"/>
      <c r="E144" s="256"/>
      <c r="F144" s="256"/>
      <c r="J144" s="214"/>
      <c r="K144" s="214"/>
      <c r="L144" s="214"/>
      <c r="M144" s="214"/>
      <c r="N144" s="214"/>
    </row>
    <row r="145" spans="2:15" ht="31.5" x14ac:dyDescent="0.25">
      <c r="B145" s="266"/>
      <c r="C145" s="256"/>
      <c r="D145" s="256"/>
      <c r="E145" s="88"/>
      <c r="F145" s="88"/>
      <c r="G145" s="239" t="str">
        <f>G137</f>
        <v>Enfermeira – Aud. Interna</v>
      </c>
      <c r="H145" s="239" t="str">
        <f>H137</f>
        <v>Enfermeira - Aud. Externa</v>
      </c>
      <c r="I145" s="332"/>
      <c r="J145" s="214"/>
      <c r="K145" s="214"/>
      <c r="L145" s="214"/>
      <c r="M145" s="214"/>
      <c r="N145" s="214"/>
    </row>
    <row r="146" spans="2:15" ht="16.5" customHeight="1" x14ac:dyDescent="0.25">
      <c r="B146" s="257">
        <v>4</v>
      </c>
      <c r="C146" s="342" t="s">
        <v>328</v>
      </c>
      <c r="D146" s="343"/>
      <c r="E146" s="343"/>
      <c r="F146" s="343"/>
      <c r="G146" s="250" t="s">
        <v>263</v>
      </c>
      <c r="H146" s="250" t="s">
        <v>263</v>
      </c>
      <c r="I146" s="366"/>
      <c r="J146" s="214"/>
      <c r="K146" s="214"/>
      <c r="L146" s="214"/>
      <c r="M146" s="214"/>
      <c r="N146" s="214"/>
      <c r="O146" s="214"/>
    </row>
    <row r="147" spans="2:15" ht="16.5" customHeight="1" x14ac:dyDescent="0.25">
      <c r="B147" s="258" t="s">
        <v>314</v>
      </c>
      <c r="C147" s="344" t="s">
        <v>396</v>
      </c>
      <c r="D147" s="317"/>
      <c r="E147" s="317"/>
      <c r="F147" s="317"/>
      <c r="G147" s="251">
        <f>G122</f>
        <v>93.14</v>
      </c>
      <c r="H147" s="251">
        <f>H122</f>
        <v>98.75</v>
      </c>
      <c r="I147" s="367"/>
      <c r="J147" s="214"/>
      <c r="K147" s="214"/>
      <c r="L147" s="214"/>
      <c r="M147" s="214"/>
      <c r="N147" s="214"/>
      <c r="O147" s="214"/>
    </row>
    <row r="148" spans="2:15" ht="16.5" customHeight="1" x14ac:dyDescent="0.25">
      <c r="B148" s="258" t="s">
        <v>397</v>
      </c>
      <c r="C148" s="344" t="s">
        <v>398</v>
      </c>
      <c r="D148" s="317"/>
      <c r="E148" s="317"/>
      <c r="F148" s="317"/>
      <c r="G148" s="251">
        <f>G131</f>
        <v>3.48</v>
      </c>
      <c r="H148" s="251">
        <f>H131</f>
        <v>3.68</v>
      </c>
      <c r="I148" s="367"/>
      <c r="J148" s="214"/>
      <c r="K148" s="214"/>
      <c r="L148" s="214"/>
      <c r="M148" s="214"/>
      <c r="N148" s="214"/>
      <c r="O148" s="214"/>
    </row>
    <row r="149" spans="2:15" ht="16.5" customHeight="1" x14ac:dyDescent="0.25">
      <c r="B149" s="258" t="s">
        <v>324</v>
      </c>
      <c r="C149" s="344" t="s">
        <v>399</v>
      </c>
      <c r="D149" s="317"/>
      <c r="E149" s="317"/>
      <c r="F149" s="317"/>
      <c r="G149" s="251">
        <f>G140</f>
        <v>0</v>
      </c>
      <c r="H149" s="251">
        <f>H140</f>
        <v>0</v>
      </c>
      <c r="I149" s="367"/>
      <c r="J149" s="214"/>
      <c r="K149" s="214"/>
      <c r="L149" s="214"/>
      <c r="M149" s="214"/>
      <c r="N149" s="214"/>
      <c r="O149" s="214"/>
    </row>
    <row r="150" spans="2:15" ht="16.5" customHeight="1" x14ac:dyDescent="0.25">
      <c r="B150" s="345" t="s">
        <v>44</v>
      </c>
      <c r="C150" s="346"/>
      <c r="D150" s="346"/>
      <c r="E150" s="347"/>
      <c r="F150" s="347"/>
      <c r="G150" s="274">
        <f>ROUND(SUM(G147:G149),2)</f>
        <v>96.62</v>
      </c>
      <c r="H150" s="274">
        <f>ROUND(SUM(H147:H149),2)</f>
        <v>102.43</v>
      </c>
      <c r="I150" s="367"/>
      <c r="J150" s="214"/>
      <c r="K150" s="214"/>
      <c r="L150" s="214"/>
      <c r="M150" s="214"/>
      <c r="N150" s="214"/>
      <c r="O150" s="214"/>
    </row>
    <row r="151" spans="2:15" x14ac:dyDescent="0.25">
      <c r="B151" s="273"/>
      <c r="C151" s="273"/>
      <c r="D151" s="273"/>
      <c r="E151" s="273"/>
      <c r="F151" s="273"/>
      <c r="J151" s="214"/>
      <c r="K151" s="214"/>
      <c r="L151" s="214"/>
      <c r="M151" s="214"/>
      <c r="N151" s="214"/>
    </row>
    <row r="152" spans="2:15" x14ac:dyDescent="0.25">
      <c r="B152" s="369" t="s">
        <v>329</v>
      </c>
      <c r="C152" s="255"/>
      <c r="D152" s="255"/>
      <c r="E152" s="255"/>
      <c r="F152" s="255"/>
      <c r="G152" s="255"/>
      <c r="H152" s="255"/>
      <c r="I152" s="370"/>
      <c r="J152" s="214"/>
      <c r="K152" s="214"/>
      <c r="L152" s="214"/>
      <c r="M152" s="214"/>
      <c r="N152" s="214"/>
    </row>
    <row r="153" spans="2:15" x14ac:dyDescent="0.25">
      <c r="B153" s="256"/>
      <c r="C153" s="256"/>
      <c r="D153" s="256"/>
      <c r="E153" s="256"/>
      <c r="F153" s="256"/>
      <c r="J153" s="214"/>
      <c r="K153" s="214"/>
      <c r="L153" s="214"/>
      <c r="M153" s="214"/>
      <c r="N153" s="214"/>
    </row>
    <row r="154" spans="2:15" ht="31.5" x14ac:dyDescent="0.25">
      <c r="B154" s="256"/>
      <c r="C154" s="256"/>
      <c r="D154" s="256"/>
      <c r="E154" s="88"/>
      <c r="F154" s="88"/>
      <c r="G154" s="365" t="str">
        <f>G145</f>
        <v>Enfermeira – Aud. Interna</v>
      </c>
      <c r="H154" s="239" t="str">
        <f>H145</f>
        <v>Enfermeira - Aud. Externa</v>
      </c>
      <c r="I154" s="332"/>
      <c r="J154" s="214"/>
      <c r="K154" s="214"/>
      <c r="L154" s="214"/>
      <c r="M154" s="214"/>
      <c r="N154" s="214"/>
    </row>
    <row r="155" spans="2:15" ht="16.5" customHeight="1" x14ac:dyDescent="0.25">
      <c r="B155" s="257">
        <v>5</v>
      </c>
      <c r="C155" s="342" t="s">
        <v>217</v>
      </c>
      <c r="D155" s="343"/>
      <c r="E155" s="343"/>
      <c r="F155" s="343"/>
      <c r="G155" s="402" t="s">
        <v>263</v>
      </c>
      <c r="H155" s="250" t="s">
        <v>263</v>
      </c>
      <c r="I155" s="366"/>
      <c r="J155" s="214"/>
      <c r="K155" s="214"/>
      <c r="L155" s="214"/>
      <c r="M155" s="214"/>
      <c r="N155" s="214"/>
      <c r="O155" s="214"/>
    </row>
    <row r="156" spans="2:15" ht="16.5" customHeight="1" x14ac:dyDescent="0.25">
      <c r="B156" s="258" t="s">
        <v>227</v>
      </c>
      <c r="C156" s="344" t="s">
        <v>400</v>
      </c>
      <c r="D156" s="317"/>
      <c r="E156" s="317"/>
      <c r="F156" s="317"/>
      <c r="G156" s="403"/>
      <c r="H156" s="251"/>
      <c r="I156" s="367"/>
      <c r="J156" s="214"/>
      <c r="K156" s="214"/>
      <c r="L156" s="214"/>
      <c r="M156" s="214"/>
      <c r="N156" s="214"/>
      <c r="O156" s="214"/>
    </row>
    <row r="157" spans="2:15" ht="16.5" customHeight="1" x14ac:dyDescent="0.25">
      <c r="B157" s="258" t="s">
        <v>229</v>
      </c>
      <c r="C157" s="344" t="s">
        <v>401</v>
      </c>
      <c r="D157" s="317"/>
      <c r="E157" s="317"/>
      <c r="F157" s="317"/>
      <c r="G157" s="403">
        <v>1.9</v>
      </c>
      <c r="H157" s="251">
        <v>1.9</v>
      </c>
      <c r="I157" s="367"/>
      <c r="J157" s="214"/>
      <c r="K157" s="214"/>
      <c r="L157" s="214"/>
      <c r="M157" s="214"/>
      <c r="N157" s="214"/>
      <c r="O157" s="214"/>
    </row>
    <row r="158" spans="2:15" ht="16.5" customHeight="1" x14ac:dyDescent="0.25">
      <c r="B158" s="258" t="s">
        <v>232</v>
      </c>
      <c r="C158" s="344" t="s">
        <v>402</v>
      </c>
      <c r="D158" s="317"/>
      <c r="E158" s="317"/>
      <c r="F158" s="317"/>
      <c r="G158" s="403"/>
      <c r="H158" s="251"/>
      <c r="I158" s="367"/>
      <c r="J158" s="214"/>
      <c r="K158" s="214"/>
      <c r="L158" s="214"/>
      <c r="M158" s="214"/>
      <c r="N158" s="214"/>
      <c r="O158" s="214"/>
    </row>
    <row r="159" spans="2:15" ht="16.5" customHeight="1" x14ac:dyDescent="0.25">
      <c r="B159" s="258" t="s">
        <v>234</v>
      </c>
      <c r="C159" s="344" t="s">
        <v>271</v>
      </c>
      <c r="D159" s="317"/>
      <c r="E159" s="317"/>
      <c r="F159" s="317"/>
      <c r="G159" s="403"/>
      <c r="H159" s="251"/>
      <c r="I159" s="367"/>
      <c r="J159" s="214"/>
      <c r="K159" s="214"/>
      <c r="L159" s="214"/>
      <c r="M159" s="214"/>
      <c r="N159" s="214"/>
      <c r="O159" s="214"/>
    </row>
    <row r="160" spans="2:15" ht="16.5" customHeight="1" x14ac:dyDescent="0.25">
      <c r="B160" s="376" t="s">
        <v>44</v>
      </c>
      <c r="C160" s="377"/>
      <c r="D160" s="377"/>
      <c r="E160" s="377"/>
      <c r="F160" s="377"/>
      <c r="G160" s="410">
        <f>SUM(G156:G159)</f>
        <v>1.9</v>
      </c>
      <c r="H160" s="274">
        <f>SUM(H156:H159)</f>
        <v>1.9</v>
      </c>
      <c r="I160" s="367"/>
      <c r="J160" s="214"/>
      <c r="K160" s="214"/>
      <c r="L160" s="214"/>
      <c r="M160" s="214"/>
      <c r="N160" s="214"/>
      <c r="O160" s="214"/>
    </row>
    <row r="161" spans="2:14" x14ac:dyDescent="0.25">
      <c r="J161" s="214"/>
      <c r="K161" s="214"/>
      <c r="L161" s="214"/>
      <c r="M161" s="214"/>
      <c r="N161" s="214"/>
    </row>
    <row r="162" spans="2:14" x14ac:dyDescent="0.25">
      <c r="B162" s="369" t="s">
        <v>403</v>
      </c>
      <c r="C162" s="255"/>
      <c r="D162" s="255"/>
      <c r="E162" s="255"/>
      <c r="F162" s="255"/>
      <c r="G162" s="255"/>
      <c r="H162" s="255"/>
      <c r="I162" s="370"/>
      <c r="J162" s="214"/>
      <c r="K162" s="214"/>
      <c r="L162" s="214"/>
      <c r="M162" s="214"/>
      <c r="N162" s="214"/>
    </row>
    <row r="163" spans="2:14" x14ac:dyDescent="0.25">
      <c r="B163" s="256"/>
      <c r="C163" s="256"/>
      <c r="D163" s="256"/>
      <c r="E163" s="256"/>
      <c r="F163" s="256"/>
      <c r="J163" s="214"/>
      <c r="K163" s="214"/>
      <c r="L163" s="214"/>
      <c r="M163" s="214"/>
      <c r="N163" s="214"/>
    </row>
    <row r="164" spans="2:14" ht="31.5" x14ac:dyDescent="0.25">
      <c r="B164" s="256"/>
      <c r="C164" s="256"/>
      <c r="D164" s="256"/>
      <c r="E164" s="256"/>
      <c r="F164" s="88"/>
      <c r="G164" s="365" t="str">
        <f>G154</f>
        <v>Enfermeira – Aud. Interna</v>
      </c>
      <c r="H164" s="239" t="str">
        <f>H154</f>
        <v>Enfermeira - Aud. Externa</v>
      </c>
      <c r="I164" s="332"/>
      <c r="J164" s="214"/>
      <c r="K164" s="214"/>
      <c r="L164" s="214"/>
      <c r="M164" s="214"/>
      <c r="N164" s="214"/>
    </row>
    <row r="165" spans="2:14" ht="16.5" customHeight="1" x14ac:dyDescent="0.25">
      <c r="B165" s="257">
        <v>6</v>
      </c>
      <c r="C165" s="379" t="s">
        <v>218</v>
      </c>
      <c r="D165" s="380"/>
      <c r="E165" s="275"/>
      <c r="F165" s="411" t="s">
        <v>281</v>
      </c>
      <c r="G165" s="402" t="s">
        <v>263</v>
      </c>
      <c r="H165" s="250" t="s">
        <v>263</v>
      </c>
      <c r="I165" s="366"/>
      <c r="J165" s="214"/>
      <c r="K165" s="214"/>
      <c r="L165" s="214"/>
      <c r="M165" s="214"/>
      <c r="N165" s="214"/>
    </row>
    <row r="166" spans="2:14" ht="16.5" customHeight="1" x14ac:dyDescent="0.25">
      <c r="B166" s="258" t="s">
        <v>227</v>
      </c>
      <c r="C166" s="382" t="s">
        <v>200</v>
      </c>
      <c r="D166" s="383"/>
      <c r="E166" s="270"/>
      <c r="F166" s="412">
        <v>0.06</v>
      </c>
      <c r="G166" s="403">
        <f>(G160+G150+G107+G94+G43)*$F$166</f>
        <v>377.57939999999996</v>
      </c>
      <c r="H166" s="251">
        <f>(H160+H150+H107+H94+H43)*$F$166</f>
        <v>399.15600000000001</v>
      </c>
      <c r="I166" s="367"/>
      <c r="J166" s="214"/>
      <c r="K166" s="214"/>
      <c r="L166" s="214"/>
      <c r="M166" s="214"/>
      <c r="N166" s="214"/>
    </row>
    <row r="167" spans="2:14" ht="16.5" customHeight="1" x14ac:dyDescent="0.25">
      <c r="B167" s="258" t="s">
        <v>229</v>
      </c>
      <c r="C167" s="382" t="s">
        <v>202</v>
      </c>
      <c r="D167" s="383"/>
      <c r="E167" s="270"/>
      <c r="F167" s="412">
        <v>6.7900000000000002E-2</v>
      </c>
      <c r="G167" s="403">
        <f>(G160+G150+G107+G94+G43+G166)*$F$167</f>
        <v>452.93166226</v>
      </c>
      <c r="H167" s="251">
        <f>(H160+H150+H107+H94+H43+H166)*$F$167</f>
        <v>478.81423240000004</v>
      </c>
      <c r="I167" s="367"/>
      <c r="J167" s="214"/>
      <c r="K167" s="214"/>
      <c r="L167" s="214"/>
      <c r="M167" s="214"/>
      <c r="N167" s="214"/>
    </row>
    <row r="168" spans="2:14" ht="16.5" customHeight="1" x14ac:dyDescent="0.25">
      <c r="B168" s="258" t="s">
        <v>232</v>
      </c>
      <c r="C168" s="382" t="s">
        <v>201</v>
      </c>
      <c r="D168" s="383"/>
      <c r="E168" s="270"/>
      <c r="F168" s="384"/>
      <c r="G168" s="408"/>
      <c r="H168" s="261"/>
      <c r="I168" s="371"/>
      <c r="J168" s="214"/>
      <c r="K168" s="214"/>
      <c r="L168" s="214"/>
      <c r="M168" s="214"/>
      <c r="N168" s="214"/>
    </row>
    <row r="169" spans="2:14" ht="30.75" customHeight="1" x14ac:dyDescent="0.25">
      <c r="B169" s="258"/>
      <c r="C169" s="382" t="s">
        <v>332</v>
      </c>
      <c r="D169" s="383"/>
      <c r="E169" s="270"/>
      <c r="F169" s="413">
        <f>1-(F170+F171+F172+F173)</f>
        <v>0.91349999999999998</v>
      </c>
      <c r="G169" s="414">
        <f>(G160+G150+G107+G94+G43+G166+G167)/$F$169</f>
        <v>7798.0307194964416</v>
      </c>
      <c r="H169" s="280">
        <f>(H160+H150+H107+H94+H43+H166+H167)/$F$169</f>
        <v>8243.6455746031752</v>
      </c>
      <c r="I169" s="367"/>
      <c r="J169" s="214"/>
      <c r="K169" s="214"/>
      <c r="L169" s="214"/>
      <c r="M169" s="214"/>
      <c r="N169" s="214"/>
    </row>
    <row r="170" spans="2:14" ht="16.5" customHeight="1" x14ac:dyDescent="0.25">
      <c r="B170" s="258"/>
      <c r="C170" s="382" t="s">
        <v>333</v>
      </c>
      <c r="D170" s="383"/>
      <c r="E170" s="270"/>
      <c r="F170" s="384">
        <v>6.4999999999999997E-3</v>
      </c>
      <c r="G170" s="403">
        <f>G169*$F$170</f>
        <v>50.68719967672687</v>
      </c>
      <c r="H170" s="251">
        <f>H169*$F$170</f>
        <v>53.583696234920637</v>
      </c>
      <c r="I170" s="367"/>
      <c r="J170" s="214"/>
      <c r="K170" s="214"/>
      <c r="L170" s="214"/>
      <c r="M170" s="214"/>
      <c r="N170" s="214"/>
    </row>
    <row r="171" spans="2:14" ht="16.5" customHeight="1" x14ac:dyDescent="0.25">
      <c r="B171" s="258"/>
      <c r="C171" s="382" t="s">
        <v>334</v>
      </c>
      <c r="D171" s="383"/>
      <c r="E171" s="270"/>
      <c r="F171" s="384">
        <v>0.03</v>
      </c>
      <c r="G171" s="403">
        <f>G169*$F$171</f>
        <v>233.94092158489323</v>
      </c>
      <c r="H171" s="251">
        <f>H169*$F$171</f>
        <v>247.30936723809523</v>
      </c>
      <c r="I171" s="367"/>
      <c r="J171" s="214"/>
      <c r="K171" s="214"/>
      <c r="L171" s="214"/>
      <c r="M171" s="214"/>
      <c r="N171" s="214"/>
    </row>
    <row r="172" spans="2:14" ht="16.5" customHeight="1" x14ac:dyDescent="0.25">
      <c r="B172" s="258"/>
      <c r="C172" s="382" t="s">
        <v>335</v>
      </c>
      <c r="D172" s="383"/>
      <c r="E172" s="270"/>
      <c r="F172" s="384"/>
      <c r="G172" s="403">
        <f>G169*$F$172</f>
        <v>0</v>
      </c>
      <c r="H172" s="251">
        <f>H169*$F$172</f>
        <v>0</v>
      </c>
      <c r="I172" s="367"/>
      <c r="J172" s="214"/>
      <c r="K172" s="214"/>
      <c r="L172" s="214"/>
      <c r="M172" s="214"/>
      <c r="N172" s="214"/>
    </row>
    <row r="173" spans="2:14" ht="16.5" customHeight="1" x14ac:dyDescent="0.25">
      <c r="B173" s="258"/>
      <c r="C173" s="382" t="s">
        <v>336</v>
      </c>
      <c r="D173" s="383"/>
      <c r="E173" s="270"/>
      <c r="F173" s="384">
        <v>0.05</v>
      </c>
      <c r="G173" s="403">
        <f>G169*$F$173</f>
        <v>389.90153597482208</v>
      </c>
      <c r="H173" s="251">
        <f>H169*$F$173</f>
        <v>412.18227873015877</v>
      </c>
      <c r="I173" s="367"/>
      <c r="J173" s="214"/>
      <c r="K173" s="214"/>
      <c r="L173" s="214"/>
      <c r="M173" s="214"/>
      <c r="N173" s="214"/>
    </row>
    <row r="174" spans="2:14" ht="16.5" customHeight="1" x14ac:dyDescent="0.25">
      <c r="B174" s="376" t="s">
        <v>288</v>
      </c>
      <c r="C174" s="377"/>
      <c r="D174" s="377"/>
      <c r="E174" s="378"/>
      <c r="F174" s="386">
        <f>SUM(F170:F173)</f>
        <v>8.6499999999999994E-2</v>
      </c>
      <c r="G174" s="410">
        <f>ROUND(SUM(G170:G173)+SUM(G166:G167),2)</f>
        <v>1505.04</v>
      </c>
      <c r="H174" s="274">
        <f>ROUND(SUM(H170:H173)+SUM(H166:H167),2)</f>
        <v>1591.05</v>
      </c>
      <c r="I174" s="367"/>
      <c r="J174" s="214"/>
      <c r="K174" s="214"/>
      <c r="L174" s="214"/>
      <c r="M174" s="214"/>
      <c r="N174" s="214"/>
    </row>
    <row r="175" spans="2:14" x14ac:dyDescent="0.25">
      <c r="J175" s="214"/>
      <c r="K175" s="214"/>
      <c r="L175" s="214"/>
    </row>
    <row r="176" spans="2:14" ht="24" customHeight="1" x14ac:dyDescent="0.25">
      <c r="B176" s="324" t="s">
        <v>337</v>
      </c>
      <c r="C176" s="324"/>
      <c r="D176" s="324"/>
      <c r="E176" s="324"/>
      <c r="F176" s="324"/>
      <c r="G176" s="237"/>
      <c r="H176" s="324"/>
      <c r="J176" s="214"/>
      <c r="K176" s="214"/>
      <c r="L176" s="214"/>
    </row>
    <row r="177" spans="2:15" x14ac:dyDescent="0.25">
      <c r="J177" s="214"/>
      <c r="K177" s="214"/>
      <c r="L177" s="214"/>
    </row>
    <row r="178" spans="2:15" ht="31.5" x14ac:dyDescent="0.25">
      <c r="E178" s="88"/>
      <c r="F178" s="88"/>
      <c r="G178" s="365" t="str">
        <f>G164</f>
        <v>Enfermeira – Aud. Interna</v>
      </c>
      <c r="H178" s="365" t="str">
        <f>H164</f>
        <v>Enfermeira - Aud. Externa</v>
      </c>
      <c r="I178" s="332"/>
      <c r="J178" s="214"/>
      <c r="K178" s="214"/>
      <c r="L178" s="214"/>
      <c r="M178" s="214"/>
      <c r="N178" s="214"/>
    </row>
    <row r="179" spans="2:15" ht="32.25" customHeight="1" x14ac:dyDescent="0.25">
      <c r="B179" s="227"/>
      <c r="C179" s="342" t="s">
        <v>338</v>
      </c>
      <c r="D179" s="343"/>
      <c r="E179" s="343"/>
      <c r="F179" s="343"/>
      <c r="G179" s="398" t="s">
        <v>263</v>
      </c>
      <c r="H179" s="221" t="s">
        <v>263</v>
      </c>
      <c r="I179" s="88"/>
      <c r="J179" s="214"/>
      <c r="K179" s="214"/>
      <c r="L179" s="214"/>
      <c r="M179" s="214"/>
      <c r="N179" s="214"/>
      <c r="O179" s="214"/>
    </row>
    <row r="180" spans="2:15" ht="16.5" customHeight="1" x14ac:dyDescent="0.25">
      <c r="B180" s="282" t="s">
        <v>227</v>
      </c>
      <c r="C180" s="344" t="s">
        <v>261</v>
      </c>
      <c r="D180" s="317"/>
      <c r="E180" s="317"/>
      <c r="F180" s="317"/>
      <c r="G180" s="399">
        <f>G43</f>
        <v>3472.17</v>
      </c>
      <c r="H180" s="224">
        <f>H43</f>
        <v>3681.17</v>
      </c>
      <c r="I180" s="334"/>
      <c r="K180" s="214"/>
      <c r="L180" s="214"/>
      <c r="M180" s="214"/>
      <c r="N180" s="214"/>
      <c r="O180" s="214"/>
    </row>
    <row r="181" spans="2:15" ht="16.5" customHeight="1" x14ac:dyDescent="0.25">
      <c r="B181" s="282" t="s">
        <v>229</v>
      </c>
      <c r="C181" s="344" t="s">
        <v>272</v>
      </c>
      <c r="D181" s="317"/>
      <c r="E181" s="317"/>
      <c r="F181" s="317"/>
      <c r="G181" s="399">
        <f>G94</f>
        <v>2481.33</v>
      </c>
      <c r="H181" s="224">
        <f>H94</f>
        <v>2611.62</v>
      </c>
      <c r="I181" s="334"/>
      <c r="K181" s="214"/>
      <c r="L181" s="214"/>
      <c r="M181" s="214"/>
      <c r="N181" s="214"/>
      <c r="O181" s="214"/>
    </row>
    <row r="182" spans="2:15" ht="16.5" customHeight="1" x14ac:dyDescent="0.25">
      <c r="B182" s="282" t="s">
        <v>232</v>
      </c>
      <c r="C182" s="344" t="s">
        <v>303</v>
      </c>
      <c r="D182" s="317"/>
      <c r="E182" s="317"/>
      <c r="F182" s="317"/>
      <c r="G182" s="399">
        <f>G107</f>
        <v>240.97</v>
      </c>
      <c r="H182" s="224">
        <f>H107</f>
        <v>255.48</v>
      </c>
      <c r="I182" s="334"/>
      <c r="K182" s="214"/>
      <c r="L182" s="214"/>
      <c r="M182" s="214"/>
      <c r="N182" s="214"/>
      <c r="O182" s="214"/>
    </row>
    <row r="183" spans="2:15" ht="16.5" customHeight="1" x14ac:dyDescent="0.25">
      <c r="B183" s="282" t="s">
        <v>234</v>
      </c>
      <c r="C183" s="344" t="s">
        <v>311</v>
      </c>
      <c r="D183" s="317"/>
      <c r="E183" s="317"/>
      <c r="F183" s="317"/>
      <c r="G183" s="399">
        <f>G150</f>
        <v>96.62</v>
      </c>
      <c r="H183" s="224">
        <f>H150</f>
        <v>102.43</v>
      </c>
      <c r="I183" s="334"/>
      <c r="K183" s="214"/>
      <c r="L183" s="214"/>
      <c r="M183" s="214"/>
      <c r="N183" s="214"/>
      <c r="O183" s="214"/>
    </row>
    <row r="184" spans="2:15" ht="16.5" customHeight="1" x14ac:dyDescent="0.25">
      <c r="B184" s="282" t="s">
        <v>267</v>
      </c>
      <c r="C184" s="344" t="s">
        <v>329</v>
      </c>
      <c r="D184" s="317"/>
      <c r="E184" s="317"/>
      <c r="F184" s="317"/>
      <c r="G184" s="399">
        <f>G160</f>
        <v>1.9</v>
      </c>
      <c r="H184" s="224">
        <f>H160</f>
        <v>1.9</v>
      </c>
      <c r="I184" s="334"/>
      <c r="K184" s="214"/>
      <c r="L184" s="214"/>
      <c r="M184" s="214"/>
      <c r="N184" s="214"/>
      <c r="O184" s="214"/>
    </row>
    <row r="185" spans="2:15" ht="16.5" customHeight="1" x14ac:dyDescent="0.25">
      <c r="B185" s="362" t="s">
        <v>344</v>
      </c>
      <c r="C185" s="343"/>
      <c r="D185" s="343"/>
      <c r="E185" s="343"/>
      <c r="F185" s="343"/>
      <c r="G185" s="415">
        <f>SUM(G180:G184)</f>
        <v>6292.99</v>
      </c>
      <c r="H185" s="284">
        <f>SUM(H180:H184)</f>
        <v>6652.5999999999995</v>
      </c>
      <c r="I185" s="388"/>
      <c r="K185" s="214"/>
      <c r="L185" s="214"/>
      <c r="M185" s="214"/>
      <c r="N185" s="214"/>
      <c r="O185" s="214"/>
    </row>
    <row r="186" spans="2:15" ht="16.5" customHeight="1" x14ac:dyDescent="0.25">
      <c r="B186" s="282" t="s">
        <v>269</v>
      </c>
      <c r="C186" s="344" t="s">
        <v>345</v>
      </c>
      <c r="D186" s="317"/>
      <c r="E186" s="317"/>
      <c r="F186" s="317"/>
      <c r="G186" s="399">
        <f>G174</f>
        <v>1505.04</v>
      </c>
      <c r="H186" s="224">
        <f>H174</f>
        <v>1591.05</v>
      </c>
      <c r="I186" s="334"/>
      <c r="K186" s="214"/>
      <c r="L186" s="214"/>
      <c r="M186" s="214"/>
      <c r="N186" s="214"/>
      <c r="O186" s="214"/>
    </row>
    <row r="187" spans="2:15" ht="23.25" customHeight="1" x14ac:dyDescent="0.25">
      <c r="B187" s="389" t="s">
        <v>347</v>
      </c>
      <c r="C187" s="390"/>
      <c r="D187" s="390"/>
      <c r="E187" s="390"/>
      <c r="F187" s="390"/>
      <c r="G187" s="416">
        <f>ROUND(G186+G185,2)</f>
        <v>7798.03</v>
      </c>
      <c r="H187" s="392">
        <f>ROUND(H186+H185,2)</f>
        <v>8243.65</v>
      </c>
      <c r="I187" s="393"/>
    </row>
    <row r="189" spans="2:15" ht="20.25" customHeight="1" x14ac:dyDescent="0.25">
      <c r="B189" s="324" t="s">
        <v>348</v>
      </c>
      <c r="C189" s="237"/>
      <c r="D189" s="237"/>
      <c r="E189" s="237"/>
      <c r="F189" s="237"/>
      <c r="G189" s="237"/>
      <c r="H189" s="237"/>
    </row>
    <row r="190" spans="2:15" x14ac:dyDescent="0.25">
      <c r="B190" s="213"/>
    </row>
    <row r="191" spans="2:15" ht="62.1" customHeight="1" x14ac:dyDescent="0.25">
      <c r="B191" s="227"/>
      <c r="C191" s="227" t="s">
        <v>349</v>
      </c>
      <c r="D191" s="221" t="s">
        <v>350</v>
      </c>
      <c r="E191" s="221" t="s">
        <v>351</v>
      </c>
      <c r="F191" s="221" t="s">
        <v>352</v>
      </c>
      <c r="G191" s="221" t="s">
        <v>353</v>
      </c>
      <c r="H191" s="221" t="s">
        <v>354</v>
      </c>
      <c r="J191" s="214"/>
      <c r="K191" s="214"/>
      <c r="L191" s="214"/>
    </row>
    <row r="192" spans="2:15" ht="42.2" customHeight="1" x14ac:dyDescent="0.25">
      <c r="B192" s="286" t="s">
        <v>411</v>
      </c>
      <c r="C192" s="287" t="str">
        <f>B15</f>
        <v>AUDITORIA INTERNA – ENFERMEIRO</v>
      </c>
      <c r="D192" s="288">
        <f>G187</f>
        <v>7798.03</v>
      </c>
      <c r="E192" s="226">
        <f>H15</f>
        <v>1</v>
      </c>
      <c r="F192" s="289">
        <f>D192*E192</f>
        <v>7798.03</v>
      </c>
      <c r="G192" s="226">
        <f>G15</f>
        <v>2</v>
      </c>
      <c r="H192" s="290">
        <f>F192*G192</f>
        <v>15596.06</v>
      </c>
      <c r="J192" s="214"/>
      <c r="K192" s="214"/>
      <c r="L192" s="214"/>
    </row>
    <row r="193" spans="2:12" ht="30" customHeight="1" x14ac:dyDescent="0.25">
      <c r="B193" s="286" t="s">
        <v>412</v>
      </c>
      <c r="C193" s="287" t="str">
        <f>B16</f>
        <v>AUDITORIA EXTERNA – ENFERMEIRO</v>
      </c>
      <c r="D193" s="288">
        <f>H187</f>
        <v>8243.65</v>
      </c>
      <c r="E193" s="226">
        <f>H16</f>
        <v>1</v>
      </c>
      <c r="F193" s="289">
        <f>D193*E193</f>
        <v>8243.65</v>
      </c>
      <c r="G193" s="226">
        <f>G16</f>
        <v>2</v>
      </c>
      <c r="H193" s="290">
        <f>F193*G193</f>
        <v>16487.3</v>
      </c>
      <c r="J193" s="214"/>
      <c r="K193" s="214"/>
      <c r="L193" s="214"/>
    </row>
  </sheetData>
  <mergeCells count="4">
    <mergeCell ref="B3:H3"/>
    <mergeCell ref="B15:C15"/>
    <mergeCell ref="B16:C16"/>
    <mergeCell ref="C130:F130"/>
  </mergeCells>
  <printOptions horizontalCentered="1"/>
  <pageMargins left="0.25" right="0.25" top="0.75" bottom="0.75208333333333299" header="0.3" footer="0.3"/>
  <pageSetup paperSize="9" scale="59" firstPageNumber="0" orientation="portrait" horizontalDpi="300" verticalDpi="300"/>
  <headerFooter>
    <oddHeader>&amp;C&amp;A</oddHeader>
    <oddFooter>&amp;L&amp;F&amp;Z&amp;F&amp;R&amp;P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D191"/>
  <sheetViews>
    <sheetView showGridLines="0" tabSelected="1" topLeftCell="A39" zoomScale="60" zoomScaleNormal="60" workbookViewId="0">
      <selection activeCell="F59" sqref="F59:F68"/>
    </sheetView>
  </sheetViews>
  <sheetFormatPr defaultColWidth="9.140625" defaultRowHeight="15.75" x14ac:dyDescent="0.25"/>
  <cols>
    <col min="1" max="1" width="1.7109375" style="213" customWidth="1"/>
    <col min="2" max="2" width="16.7109375" style="214" customWidth="1"/>
    <col min="3" max="3" width="41.7109375" style="214" customWidth="1"/>
    <col min="4" max="4" width="21.7109375" style="214" customWidth="1"/>
    <col min="5" max="5" width="19.7109375" style="214" customWidth="1"/>
    <col min="6" max="6" width="27.5703125" style="214" customWidth="1"/>
    <col min="7" max="7" width="14.42578125" style="214" customWidth="1"/>
    <col min="8" max="8" width="25.28515625" style="214" customWidth="1"/>
    <col min="9" max="9" width="9.140625" style="214"/>
    <col min="10" max="1018" width="9.140625" style="213"/>
    <col min="1019" max="1024" width="11.5703125" customWidth="1"/>
  </cols>
  <sheetData>
    <row r="1" spans="2:11" ht="18.75" customHeight="1" x14ac:dyDescent="0.25">
      <c r="B1" s="215" t="s">
        <v>364</v>
      </c>
    </row>
    <row r="2" spans="2:11" ht="24" customHeight="1" x14ac:dyDescent="0.25">
      <c r="B2" s="89" t="s">
        <v>365</v>
      </c>
    </row>
    <row r="3" spans="2:11" ht="30.75" customHeight="1" x14ac:dyDescent="0.25">
      <c r="B3" s="500" t="s">
        <v>366</v>
      </c>
      <c r="C3" s="500"/>
      <c r="D3" s="500"/>
      <c r="E3" s="500"/>
      <c r="F3" s="500"/>
      <c r="G3" s="500"/>
      <c r="H3" s="500"/>
    </row>
    <row r="4" spans="2:11" ht="17.25" customHeight="1" x14ac:dyDescent="0.25">
      <c r="B4" s="216" t="s">
        <v>367</v>
      </c>
      <c r="H4" s="309"/>
    </row>
    <row r="5" spans="2:11" ht="33" customHeight="1" x14ac:dyDescent="0.35">
      <c r="B5" s="310" t="s">
        <v>0</v>
      </c>
      <c r="C5" s="218"/>
      <c r="D5" s="218"/>
      <c r="E5" s="218"/>
      <c r="F5" s="218"/>
      <c r="G5" s="311"/>
      <c r="H5" s="311"/>
    </row>
    <row r="6" spans="2:11" x14ac:dyDescent="0.25">
      <c r="B6" s="312"/>
    </row>
    <row r="7" spans="2:11" x14ac:dyDescent="0.25">
      <c r="B7" s="313" t="s">
        <v>226</v>
      </c>
      <c r="C7" s="314"/>
      <c r="D7" s="314"/>
      <c r="E7" s="314"/>
    </row>
    <row r="8" spans="2:11" ht="27" customHeight="1" x14ac:dyDescent="0.25">
      <c r="B8" s="219" t="s">
        <v>227</v>
      </c>
      <c r="C8" s="315" t="s">
        <v>228</v>
      </c>
      <c r="D8" s="316"/>
      <c r="E8" s="316"/>
      <c r="F8" s="316"/>
      <c r="G8" s="220"/>
      <c r="H8" s="221"/>
      <c r="J8" s="214"/>
      <c r="K8" s="214"/>
    </row>
    <row r="9" spans="2:11" ht="27" customHeight="1" x14ac:dyDescent="0.25">
      <c r="B9" s="222" t="s">
        <v>229</v>
      </c>
      <c r="C9" s="315" t="s">
        <v>230</v>
      </c>
      <c r="D9" s="317"/>
      <c r="E9" s="317"/>
      <c r="F9" s="317"/>
      <c r="G9" s="305"/>
      <c r="H9" s="224" t="s">
        <v>231</v>
      </c>
      <c r="J9" s="214"/>
      <c r="K9" s="214"/>
    </row>
    <row r="10" spans="2:11" ht="27" hidden="1" customHeight="1" x14ac:dyDescent="0.25">
      <c r="B10" s="222" t="s">
        <v>232</v>
      </c>
      <c r="C10" s="315" t="s">
        <v>233</v>
      </c>
      <c r="D10" s="317"/>
      <c r="E10" s="317"/>
      <c r="F10" s="317"/>
      <c r="G10" s="305"/>
      <c r="H10" s="225">
        <v>2019</v>
      </c>
      <c r="J10" s="214"/>
      <c r="K10" s="214"/>
    </row>
    <row r="11" spans="2:11" ht="27" customHeight="1" x14ac:dyDescent="0.25">
      <c r="B11" s="222" t="s">
        <v>232</v>
      </c>
      <c r="C11" s="315" t="s">
        <v>235</v>
      </c>
      <c r="D11" s="317"/>
      <c r="E11" s="317"/>
      <c r="F11" s="317"/>
      <c r="G11" s="305"/>
      <c r="H11" s="226">
        <v>12</v>
      </c>
      <c r="J11" s="214"/>
      <c r="K11" s="214"/>
    </row>
    <row r="12" spans="2:11" ht="22.5" customHeight="1" x14ac:dyDescent="0.25"/>
    <row r="13" spans="2:11" x14ac:dyDescent="0.25">
      <c r="B13" s="318" t="s">
        <v>236</v>
      </c>
      <c r="C13" s="46"/>
      <c r="D13" s="46"/>
    </row>
    <row r="14" spans="2:11" ht="47.25" customHeight="1" x14ac:dyDescent="0.25">
      <c r="B14" s="319" t="s">
        <v>237</v>
      </c>
      <c r="C14" s="320"/>
      <c r="D14" s="321"/>
      <c r="E14" s="221" t="s">
        <v>368</v>
      </c>
      <c r="F14" s="221" t="s">
        <v>238</v>
      </c>
      <c r="G14" s="221" t="s">
        <v>369</v>
      </c>
      <c r="H14" s="221" t="s">
        <v>370</v>
      </c>
      <c r="I14" s="228"/>
      <c r="J14" s="214"/>
    </row>
    <row r="15" spans="2:11" ht="38.25" customHeight="1" x14ac:dyDescent="0.25">
      <c r="B15" s="315" t="s">
        <v>413</v>
      </c>
      <c r="C15" s="322"/>
      <c r="D15" s="323"/>
      <c r="E15" s="225" t="s">
        <v>406</v>
      </c>
      <c r="F15" s="225" t="s">
        <v>241</v>
      </c>
      <c r="G15" s="226">
        <v>2</v>
      </c>
      <c r="H15" s="226">
        <v>1</v>
      </c>
      <c r="J15" s="214"/>
    </row>
    <row r="16" spans="2:11" x14ac:dyDescent="0.25">
      <c r="B16" s="234"/>
      <c r="C16" s="234"/>
      <c r="D16" s="235"/>
      <c r="E16" s="236"/>
    </row>
    <row r="17" spans="2:11" x14ac:dyDescent="0.25">
      <c r="B17" s="324" t="s">
        <v>247</v>
      </c>
      <c r="C17" s="237"/>
      <c r="D17" s="237"/>
      <c r="E17" s="237"/>
      <c r="F17" s="237"/>
      <c r="G17" s="237"/>
      <c r="H17" s="237"/>
      <c r="I17" s="17"/>
    </row>
    <row r="18" spans="2:11" ht="11.25" customHeight="1" x14ac:dyDescent="0.25"/>
    <row r="19" spans="2:11" x14ac:dyDescent="0.25">
      <c r="B19" s="214" t="s">
        <v>248</v>
      </c>
    </row>
    <row r="20" spans="2:11" x14ac:dyDescent="0.25">
      <c r="B20" s="214" t="s">
        <v>249</v>
      </c>
    </row>
    <row r="21" spans="2:11" ht="27" customHeight="1" x14ac:dyDescent="0.25">
      <c r="B21" s="325" t="s">
        <v>250</v>
      </c>
      <c r="C21" s="326"/>
      <c r="D21" s="326"/>
      <c r="E21" s="326"/>
      <c r="F21" s="326"/>
      <c r="G21" s="326"/>
      <c r="H21" s="327"/>
      <c r="I21" s="46"/>
      <c r="J21" s="214"/>
      <c r="K21" s="214"/>
    </row>
    <row r="22" spans="2:11" ht="32.25" customHeight="1" x14ac:dyDescent="0.25">
      <c r="B22" s="219">
        <v>1</v>
      </c>
      <c r="C22" s="315" t="s">
        <v>373</v>
      </c>
      <c r="D22" s="317"/>
      <c r="E22" s="328"/>
      <c r="F22" s="329"/>
      <c r="G22" s="330" t="s">
        <v>414</v>
      </c>
      <c r="H22" s="331"/>
      <c r="I22" s="332"/>
      <c r="J22" s="214"/>
      <c r="K22" s="214"/>
    </row>
    <row r="23" spans="2:11" ht="23.25" customHeight="1" x14ac:dyDescent="0.25">
      <c r="B23" s="222">
        <v>2</v>
      </c>
      <c r="C23" s="315" t="s">
        <v>252</v>
      </c>
      <c r="D23" s="317"/>
      <c r="E23" s="328"/>
      <c r="F23" s="329"/>
      <c r="G23" s="333" t="s">
        <v>415</v>
      </c>
      <c r="H23" s="331"/>
      <c r="I23" s="334"/>
      <c r="J23" s="214"/>
      <c r="K23" s="214"/>
    </row>
    <row r="24" spans="2:11" ht="23.25" customHeight="1" x14ac:dyDescent="0.25">
      <c r="B24" s="222">
        <v>3</v>
      </c>
      <c r="C24" s="315" t="s">
        <v>375</v>
      </c>
      <c r="D24" s="317"/>
      <c r="E24" s="328"/>
      <c r="F24" s="329"/>
      <c r="G24" s="335">
        <v>1479.4</v>
      </c>
      <c r="H24" s="331"/>
      <c r="I24" s="334"/>
      <c r="J24" s="214"/>
      <c r="K24" s="214"/>
    </row>
    <row r="25" spans="2:11" ht="26.25" hidden="1" customHeight="1" x14ac:dyDescent="0.25">
      <c r="B25" s="222">
        <v>4</v>
      </c>
      <c r="C25" s="336" t="s">
        <v>376</v>
      </c>
      <c r="D25" s="304"/>
      <c r="E25" s="337"/>
      <c r="F25" s="338"/>
      <c r="G25" s="335">
        <f>AVERAGE(7966.69,10000)</f>
        <v>8983.3449999999993</v>
      </c>
      <c r="H25" s="331"/>
      <c r="I25" s="339"/>
      <c r="J25" s="214"/>
      <c r="K25" s="214"/>
    </row>
    <row r="26" spans="2:11" ht="45.75" hidden="1" customHeight="1" x14ac:dyDescent="0.25">
      <c r="B26" s="222">
        <v>4</v>
      </c>
      <c r="C26" s="315" t="s">
        <v>256</v>
      </c>
      <c r="D26" s="317"/>
      <c r="E26" s="328"/>
      <c r="F26" s="329"/>
      <c r="G26" s="340" t="s">
        <v>377</v>
      </c>
      <c r="H26" s="331"/>
      <c r="I26" s="334"/>
      <c r="J26" s="214"/>
      <c r="K26" s="214"/>
    </row>
    <row r="27" spans="2:11" ht="26.25" hidden="1" customHeight="1" x14ac:dyDescent="0.25">
      <c r="B27" s="222">
        <v>5</v>
      </c>
      <c r="C27" s="315" t="s">
        <v>258</v>
      </c>
      <c r="D27" s="317"/>
      <c r="E27" s="328"/>
      <c r="F27" s="329"/>
      <c r="G27" s="340" t="s">
        <v>378</v>
      </c>
      <c r="H27" s="331"/>
      <c r="I27" s="334"/>
      <c r="J27" s="214"/>
      <c r="K27" s="214"/>
    </row>
    <row r="28" spans="2:11" hidden="1" x14ac:dyDescent="0.25">
      <c r="B28" s="222"/>
      <c r="C28" s="238"/>
      <c r="D28" s="238"/>
      <c r="E28" s="240"/>
      <c r="F28" s="240"/>
      <c r="G28" s="240"/>
      <c r="H28" s="224"/>
      <c r="I28" s="334"/>
      <c r="J28" s="214"/>
      <c r="K28" s="214"/>
    </row>
    <row r="29" spans="2:11" hidden="1" x14ac:dyDescent="0.25">
      <c r="B29" s="222"/>
      <c r="C29" s="238"/>
      <c r="D29" s="238"/>
      <c r="E29" s="224"/>
      <c r="F29" s="224"/>
      <c r="G29" s="224"/>
      <c r="H29" s="224"/>
      <c r="I29" s="334"/>
      <c r="J29" s="214"/>
      <c r="K29" s="214"/>
    </row>
    <row r="30" spans="2:11" x14ac:dyDescent="0.25">
      <c r="K30" s="214"/>
    </row>
    <row r="31" spans="2:11" x14ac:dyDescent="0.25">
      <c r="B31" s="341" t="s">
        <v>261</v>
      </c>
      <c r="C31" s="241"/>
      <c r="D31" s="241"/>
      <c r="E31" s="241"/>
      <c r="F31" s="241"/>
      <c r="G31" s="241"/>
      <c r="H31" s="241"/>
      <c r="I31" s="46"/>
      <c r="K31" s="214"/>
    </row>
    <row r="32" spans="2:11" x14ac:dyDescent="0.25">
      <c r="K32" s="214"/>
    </row>
    <row r="33" spans="2:11" x14ac:dyDescent="0.25">
      <c r="C33" s="256"/>
      <c r="D33" s="256"/>
      <c r="E33" s="88"/>
      <c r="F33" s="88"/>
      <c r="G33" s="88"/>
      <c r="H33" s="239" t="str">
        <f>G22</f>
        <v>Faturista</v>
      </c>
      <c r="I33" s="332"/>
      <c r="K33" s="214"/>
    </row>
    <row r="34" spans="2:11" ht="16.5" customHeight="1" x14ac:dyDescent="0.25">
      <c r="B34" s="227">
        <v>1</v>
      </c>
      <c r="C34" s="342" t="s">
        <v>262</v>
      </c>
      <c r="D34" s="343"/>
      <c r="E34" s="343"/>
      <c r="F34" s="343"/>
      <c r="G34" s="221"/>
      <c r="H34" s="221" t="s">
        <v>263</v>
      </c>
      <c r="I34" s="88"/>
      <c r="J34" s="214"/>
      <c r="K34" s="214"/>
    </row>
    <row r="35" spans="2:11" ht="15" customHeight="1" x14ac:dyDescent="0.25">
      <c r="B35" s="222" t="s">
        <v>227</v>
      </c>
      <c r="C35" s="344" t="s">
        <v>264</v>
      </c>
      <c r="D35" s="317"/>
      <c r="E35" s="317"/>
      <c r="F35" s="317"/>
      <c r="G35" s="305"/>
      <c r="H35" s="240">
        <f>G24</f>
        <v>1479.4</v>
      </c>
      <c r="I35" s="339"/>
      <c r="J35" s="214"/>
      <c r="K35" s="214"/>
    </row>
    <row r="36" spans="2:11" ht="16.5" customHeight="1" x14ac:dyDescent="0.25">
      <c r="B36" s="222" t="s">
        <v>229</v>
      </c>
      <c r="C36" s="344" t="s">
        <v>265</v>
      </c>
      <c r="D36" s="317"/>
      <c r="E36" s="317"/>
      <c r="F36" s="317"/>
      <c r="G36" s="305"/>
      <c r="H36" s="224"/>
      <c r="I36" s="334"/>
      <c r="J36" s="214"/>
    </row>
    <row r="37" spans="2:11" ht="15" customHeight="1" x14ac:dyDescent="0.25">
      <c r="B37" s="222" t="s">
        <v>232</v>
      </c>
      <c r="C37" s="344" t="s">
        <v>266</v>
      </c>
      <c r="D37" s="317"/>
      <c r="E37" s="317"/>
      <c r="F37" s="317"/>
      <c r="G37" s="305"/>
      <c r="H37" s="224"/>
      <c r="I37" s="334"/>
      <c r="J37" s="214"/>
    </row>
    <row r="38" spans="2:11" ht="16.5" customHeight="1" x14ac:dyDescent="0.25">
      <c r="B38" s="222" t="s">
        <v>234</v>
      </c>
      <c r="C38" s="344" t="s">
        <v>379</v>
      </c>
      <c r="D38" s="317"/>
      <c r="E38" s="317"/>
      <c r="F38" s="317"/>
      <c r="G38" s="305"/>
      <c r="H38" s="224"/>
      <c r="I38" s="334"/>
      <c r="J38" s="214"/>
    </row>
    <row r="39" spans="2:11" ht="16.5" customHeight="1" x14ac:dyDescent="0.25">
      <c r="B39" s="222" t="s">
        <v>267</v>
      </c>
      <c r="C39" s="344" t="s">
        <v>268</v>
      </c>
      <c r="D39" s="317"/>
      <c r="E39" s="317"/>
      <c r="F39" s="317"/>
      <c r="G39" s="305"/>
      <c r="H39" s="224"/>
      <c r="I39" s="334"/>
      <c r="J39" s="214"/>
    </row>
    <row r="40" spans="2:11" ht="16.5" customHeight="1" x14ac:dyDescent="0.25">
      <c r="B40" s="222" t="s">
        <v>269</v>
      </c>
      <c r="C40" s="344" t="s">
        <v>41</v>
      </c>
      <c r="D40" s="317"/>
      <c r="E40" s="317"/>
      <c r="F40" s="317"/>
      <c r="G40" s="305"/>
      <c r="H40" s="224"/>
      <c r="I40" s="334"/>
      <c r="J40" s="214"/>
    </row>
    <row r="41" spans="2:11" ht="16.5" customHeight="1" x14ac:dyDescent="0.25">
      <c r="B41" s="222" t="s">
        <v>270</v>
      </c>
      <c r="C41" s="344" t="s">
        <v>271</v>
      </c>
      <c r="D41" s="317"/>
      <c r="E41" s="317"/>
      <c r="F41" s="317"/>
      <c r="G41" s="305"/>
      <c r="H41" s="224"/>
      <c r="I41" s="334"/>
      <c r="J41" s="214"/>
    </row>
    <row r="42" spans="2:11" ht="15" customHeight="1" x14ac:dyDescent="0.25">
      <c r="B42" s="345" t="s">
        <v>44</v>
      </c>
      <c r="C42" s="346"/>
      <c r="D42" s="346"/>
      <c r="E42" s="347"/>
      <c r="F42" s="347"/>
      <c r="G42" s="348"/>
      <c r="H42" s="243">
        <f>SUM(H35:H41)</f>
        <v>1479.4</v>
      </c>
      <c r="I42" s="349"/>
      <c r="J42" s="214"/>
    </row>
    <row r="44" spans="2:11" x14ac:dyDescent="0.25">
      <c r="E44" s="350"/>
      <c r="F44" s="350"/>
      <c r="G44" s="350"/>
      <c r="H44" s="350"/>
      <c r="I44" s="350"/>
    </row>
    <row r="45" spans="2:11" x14ac:dyDescent="0.25">
      <c r="B45" s="341" t="s">
        <v>272</v>
      </c>
      <c r="C45" s="241"/>
      <c r="D45" s="241"/>
      <c r="E45" s="241"/>
      <c r="F45" s="241"/>
      <c r="G45" s="241"/>
      <c r="H45" s="241"/>
      <c r="I45" s="17"/>
    </row>
    <row r="46" spans="2:11" x14ac:dyDescent="0.25">
      <c r="B46" s="351"/>
    </row>
    <row r="47" spans="2:11" x14ac:dyDescent="0.25">
      <c r="B47" s="352" t="s">
        <v>273</v>
      </c>
      <c r="C47" s="245"/>
      <c r="D47" s="245"/>
      <c r="E47" s="245"/>
      <c r="F47" s="245"/>
      <c r="G47" s="245"/>
      <c r="H47" s="245"/>
      <c r="I47" s="46"/>
    </row>
    <row r="49" spans="2:1018" x14ac:dyDescent="0.25">
      <c r="C49" s="256"/>
      <c r="D49" s="256"/>
      <c r="E49" s="88"/>
      <c r="F49" s="88"/>
      <c r="G49" s="88"/>
      <c r="H49" s="239" t="str">
        <f>H33</f>
        <v>Faturista</v>
      </c>
      <c r="I49" s="332"/>
    </row>
    <row r="50" spans="2:1018" ht="32.25" customHeight="1" x14ac:dyDescent="0.25">
      <c r="B50" s="227" t="s">
        <v>274</v>
      </c>
      <c r="C50" s="342" t="s">
        <v>275</v>
      </c>
      <c r="D50" s="343"/>
      <c r="E50" s="343"/>
      <c r="F50" s="343"/>
      <c r="G50" s="221"/>
      <c r="H50" s="221" t="s">
        <v>263</v>
      </c>
      <c r="I50" s="88"/>
      <c r="J50" s="214"/>
    </row>
    <row r="51" spans="2:1018" ht="16.5" customHeight="1" x14ac:dyDescent="0.25">
      <c r="B51" s="222" t="s">
        <v>227</v>
      </c>
      <c r="C51" s="344" t="s">
        <v>276</v>
      </c>
      <c r="D51" s="317"/>
      <c r="E51" s="317"/>
      <c r="F51" s="317"/>
      <c r="G51" s="305"/>
      <c r="H51" s="224">
        <f>H42*8.33%</f>
        <v>123.23402</v>
      </c>
      <c r="I51" s="334"/>
      <c r="J51" s="214"/>
    </row>
    <row r="52" spans="2:1018" ht="16.5" customHeight="1" x14ac:dyDescent="0.25">
      <c r="B52" s="222" t="s">
        <v>229</v>
      </c>
      <c r="C52" s="344" t="s">
        <v>277</v>
      </c>
      <c r="D52" s="317"/>
      <c r="E52" s="317"/>
      <c r="F52" s="317"/>
      <c r="G52" s="305"/>
      <c r="H52" s="224">
        <f>H42*12.1%</f>
        <v>179.00740000000002</v>
      </c>
      <c r="I52" s="334"/>
      <c r="J52" s="214"/>
    </row>
    <row r="53" spans="2:1018" ht="16.5" customHeight="1" x14ac:dyDescent="0.25">
      <c r="B53" s="325" t="s">
        <v>44</v>
      </c>
      <c r="C53" s="353"/>
      <c r="D53" s="353"/>
      <c r="E53" s="354"/>
      <c r="F53" s="354"/>
      <c r="G53" s="355"/>
      <c r="H53" s="246">
        <f>ROUND(SUM(H51:H52),2)</f>
        <v>302.24</v>
      </c>
      <c r="I53" s="349"/>
      <c r="J53" s="214"/>
    </row>
    <row r="56" spans="2:1018" ht="31.5" customHeight="1" x14ac:dyDescent="0.25">
      <c r="B56" s="352" t="s">
        <v>278</v>
      </c>
      <c r="C56" s="247"/>
      <c r="D56" s="247"/>
      <c r="E56" s="247"/>
      <c r="F56" s="247"/>
      <c r="G56" s="247"/>
      <c r="H56" s="247"/>
      <c r="I56" s="88"/>
    </row>
    <row r="58" spans="2:1018" x14ac:dyDescent="0.25">
      <c r="E58" s="88"/>
      <c r="F58" s="88"/>
      <c r="G58"/>
      <c r="H58" s="239" t="str">
        <f>H49</f>
        <v>Faturista</v>
      </c>
      <c r="I58" s="332"/>
      <c r="AMD58"/>
    </row>
    <row r="59" spans="2:1018" ht="21.75" customHeight="1" x14ac:dyDescent="0.25">
      <c r="B59" s="227" t="s">
        <v>279</v>
      </c>
      <c r="C59" s="356" t="s">
        <v>280</v>
      </c>
      <c r="D59" s="343"/>
      <c r="E59" s="221"/>
      <c r="F59" s="516" t="s">
        <v>281</v>
      </c>
      <c r="G59" s="221"/>
      <c r="H59" s="221" t="s">
        <v>263</v>
      </c>
      <c r="I59" s="88"/>
      <c r="AMD59"/>
    </row>
    <row r="60" spans="2:1018" x14ac:dyDescent="0.25">
      <c r="B60" s="222" t="s">
        <v>227</v>
      </c>
      <c r="C60" s="358" t="s">
        <v>282</v>
      </c>
      <c r="D60" s="359"/>
      <c r="E60" s="248"/>
      <c r="F60" s="517">
        <v>0.2</v>
      </c>
      <c r="G60" s="248"/>
      <c r="H60" s="224">
        <f t="shared" ref="H60:H67" si="0">($H$53+$H$42)*F60</f>
        <v>356.32800000000003</v>
      </c>
      <c r="I60" s="334"/>
      <c r="AMD60"/>
    </row>
    <row r="61" spans="2:1018" x14ac:dyDescent="0.25">
      <c r="B61" s="222" t="s">
        <v>229</v>
      </c>
      <c r="C61" s="358" t="s">
        <v>283</v>
      </c>
      <c r="D61" s="359"/>
      <c r="E61" s="248"/>
      <c r="F61" s="517">
        <v>2.5000000000000001E-2</v>
      </c>
      <c r="G61" s="248"/>
      <c r="H61" s="224">
        <f t="shared" si="0"/>
        <v>44.541000000000004</v>
      </c>
      <c r="I61" s="334"/>
      <c r="AMD61"/>
    </row>
    <row r="62" spans="2:1018" x14ac:dyDescent="0.25">
      <c r="B62" s="222" t="s">
        <v>232</v>
      </c>
      <c r="C62" s="358" t="s">
        <v>284</v>
      </c>
      <c r="D62" s="359"/>
      <c r="E62" s="248"/>
      <c r="F62" s="517">
        <v>0.01</v>
      </c>
      <c r="G62" s="248"/>
      <c r="H62" s="224">
        <f t="shared" si="0"/>
        <v>17.816400000000002</v>
      </c>
      <c r="I62" s="334"/>
      <c r="AMD62"/>
    </row>
    <row r="63" spans="2:1018" x14ac:dyDescent="0.25">
      <c r="B63" s="222" t="s">
        <v>234</v>
      </c>
      <c r="C63" s="361" t="s">
        <v>285</v>
      </c>
      <c r="D63" s="359"/>
      <c r="E63" s="248"/>
      <c r="F63" s="517">
        <v>1.4999999999999999E-2</v>
      </c>
      <c r="G63" s="248"/>
      <c r="H63" s="224">
        <f t="shared" si="0"/>
        <v>26.724599999999999</v>
      </c>
      <c r="I63" s="334"/>
      <c r="AMD63"/>
    </row>
    <row r="64" spans="2:1018" x14ac:dyDescent="0.25">
      <c r="B64" s="222" t="s">
        <v>267</v>
      </c>
      <c r="C64" s="358" t="s">
        <v>286</v>
      </c>
      <c r="D64" s="359"/>
      <c r="E64" s="248"/>
      <c r="F64" s="517">
        <v>0.01</v>
      </c>
      <c r="G64" s="248"/>
      <c r="H64" s="224">
        <f t="shared" si="0"/>
        <v>17.816400000000002</v>
      </c>
      <c r="I64" s="334"/>
      <c r="AMD64"/>
    </row>
    <row r="65" spans="2:1018" x14ac:dyDescent="0.25">
      <c r="B65" s="222" t="s">
        <v>269</v>
      </c>
      <c r="C65" s="358" t="s">
        <v>64</v>
      </c>
      <c r="D65" s="359"/>
      <c r="E65" s="248"/>
      <c r="F65" s="517">
        <v>6.0000000000000001E-3</v>
      </c>
      <c r="G65" s="248"/>
      <c r="H65" s="224">
        <f t="shared" si="0"/>
        <v>10.68984</v>
      </c>
      <c r="I65" s="334"/>
      <c r="AMD65"/>
    </row>
    <row r="66" spans="2:1018" x14ac:dyDescent="0.25">
      <c r="B66" s="222" t="s">
        <v>270</v>
      </c>
      <c r="C66" s="358" t="s">
        <v>65</v>
      </c>
      <c r="D66" s="359"/>
      <c r="E66" s="248"/>
      <c r="F66" s="517">
        <v>2E-3</v>
      </c>
      <c r="G66" s="248"/>
      <c r="H66" s="224">
        <f t="shared" si="0"/>
        <v>3.5632800000000002</v>
      </c>
      <c r="I66" s="334"/>
      <c r="AMD66"/>
    </row>
    <row r="67" spans="2:1018" x14ac:dyDescent="0.25">
      <c r="B67" s="222" t="s">
        <v>287</v>
      </c>
      <c r="C67" s="358" t="s">
        <v>66</v>
      </c>
      <c r="D67" s="359"/>
      <c r="E67" s="248"/>
      <c r="F67" s="517">
        <v>0.08</v>
      </c>
      <c r="G67" s="248"/>
      <c r="H67" s="224">
        <f t="shared" si="0"/>
        <v>142.53120000000001</v>
      </c>
      <c r="I67" s="334"/>
      <c r="AMD67"/>
    </row>
    <row r="68" spans="2:1018" ht="24" customHeight="1" x14ac:dyDescent="0.25">
      <c r="B68" s="362" t="s">
        <v>288</v>
      </c>
      <c r="C68" s="343"/>
      <c r="D68" s="363"/>
      <c r="E68" s="364"/>
      <c r="F68" s="518">
        <f>SUM(F60:F67)</f>
        <v>0.34800000000000003</v>
      </c>
      <c r="G68" s="249"/>
      <c r="H68" s="246">
        <f>ROUND(SUM(H60:H67),2)</f>
        <v>620.01</v>
      </c>
      <c r="I68" s="349"/>
      <c r="AMD68"/>
    </row>
    <row r="71" spans="2:1018" x14ac:dyDescent="0.25">
      <c r="B71" s="352" t="s">
        <v>289</v>
      </c>
      <c r="C71" s="245"/>
      <c r="D71" s="245"/>
      <c r="E71" s="245"/>
      <c r="F71" s="245"/>
      <c r="G71" s="245"/>
      <c r="H71" s="245"/>
      <c r="I71" s="46"/>
    </row>
    <row r="73" spans="2:1018" x14ac:dyDescent="0.25">
      <c r="C73" s="256"/>
      <c r="D73" s="256"/>
      <c r="E73" s="88"/>
      <c r="F73" s="88"/>
      <c r="G73" s="88"/>
      <c r="H73" s="239" t="str">
        <f>H58</f>
        <v>Faturista</v>
      </c>
      <c r="I73" s="332"/>
    </row>
    <row r="74" spans="2:1018" ht="16.5" customHeight="1" x14ac:dyDescent="0.25">
      <c r="B74" s="227" t="s">
        <v>290</v>
      </c>
      <c r="C74" s="342" t="s">
        <v>291</v>
      </c>
      <c r="D74" s="343"/>
      <c r="E74" s="343"/>
      <c r="F74" s="343"/>
      <c r="G74" s="221"/>
      <c r="H74" s="250" t="s">
        <v>263</v>
      </c>
      <c r="I74" s="366"/>
      <c r="J74" s="214"/>
    </row>
    <row r="75" spans="2:1018" ht="16.5" customHeight="1" x14ac:dyDescent="0.25">
      <c r="B75" s="222" t="s">
        <v>227</v>
      </c>
      <c r="C75" s="344" t="s">
        <v>292</v>
      </c>
      <c r="D75" s="317"/>
      <c r="E75" s="317"/>
      <c r="F75" s="317"/>
      <c r="G75" s="305"/>
      <c r="H75" s="251">
        <f>IF((4.2*2*22)-H35*0.06&lt;0,"0",(4.2*2*22)-H35*0.06)</f>
        <v>96.036000000000016</v>
      </c>
      <c r="I75" s="367"/>
      <c r="J75" s="214"/>
    </row>
    <row r="76" spans="2:1018" ht="16.5" customHeight="1" x14ac:dyDescent="0.25">
      <c r="B76" s="222" t="s">
        <v>229</v>
      </c>
      <c r="C76" s="344" t="s">
        <v>293</v>
      </c>
      <c r="D76" s="317"/>
      <c r="E76" s="317"/>
      <c r="F76" s="317"/>
      <c r="G76" s="305"/>
      <c r="H76" s="403">
        <f>(18*22)-20%*18*22</f>
        <v>316.8</v>
      </c>
      <c r="I76" s="367"/>
      <c r="J76" s="214"/>
    </row>
    <row r="77" spans="2:1018" ht="16.5" customHeight="1" x14ac:dyDescent="0.25">
      <c r="B77" s="222" t="s">
        <v>232</v>
      </c>
      <c r="C77" s="344" t="s">
        <v>380</v>
      </c>
      <c r="D77" s="317"/>
      <c r="E77" s="317"/>
      <c r="F77" s="317"/>
      <c r="G77" s="305"/>
      <c r="H77" s="251"/>
      <c r="I77" s="367"/>
      <c r="J77" s="214"/>
    </row>
    <row r="78" spans="2:1018" ht="16.5" customHeight="1" x14ac:dyDescent="0.25">
      <c r="B78" s="222" t="s">
        <v>234</v>
      </c>
      <c r="C78" s="344" t="s">
        <v>381</v>
      </c>
      <c r="D78" s="317"/>
      <c r="E78" s="317"/>
      <c r="F78" s="317"/>
      <c r="G78" s="305"/>
      <c r="H78" s="251"/>
      <c r="I78" s="367"/>
      <c r="J78" s="214"/>
    </row>
    <row r="79" spans="2:1018" hidden="1" x14ac:dyDescent="0.25">
      <c r="B79" s="222" t="s">
        <v>267</v>
      </c>
      <c r="C79" s="304"/>
      <c r="D79" s="304"/>
      <c r="E79" s="251"/>
      <c r="F79" s="251"/>
      <c r="G79" s="251"/>
      <c r="H79" s="251"/>
      <c r="I79" s="367"/>
      <c r="J79" s="214"/>
    </row>
    <row r="80" spans="2:1018" hidden="1" x14ac:dyDescent="0.25">
      <c r="B80" s="222" t="s">
        <v>269</v>
      </c>
      <c r="C80" s="304"/>
      <c r="D80" s="304"/>
      <c r="E80" s="251"/>
      <c r="F80" s="251"/>
      <c r="G80" s="251"/>
      <c r="H80" s="251"/>
      <c r="I80" s="367"/>
      <c r="J80" s="214"/>
      <c r="K80" s="214"/>
      <c r="L80" s="214"/>
      <c r="M80" s="214"/>
      <c r="N80" s="214"/>
      <c r="O80" s="214"/>
    </row>
    <row r="81" spans="2:15" hidden="1" x14ac:dyDescent="0.25">
      <c r="B81" s="222" t="s">
        <v>270</v>
      </c>
      <c r="C81" s="304"/>
      <c r="D81" s="304"/>
      <c r="E81" s="251"/>
      <c r="F81" s="251"/>
      <c r="G81" s="251"/>
      <c r="H81" s="251"/>
      <c r="I81" s="367"/>
      <c r="J81" s="214"/>
      <c r="K81" s="214"/>
      <c r="L81" s="214"/>
      <c r="M81" s="214"/>
      <c r="N81" s="214"/>
      <c r="O81" s="214"/>
    </row>
    <row r="82" spans="2:15" hidden="1" x14ac:dyDescent="0.25">
      <c r="B82" s="222" t="s">
        <v>287</v>
      </c>
      <c r="C82" s="304"/>
      <c r="D82" s="304"/>
      <c r="E82" s="251"/>
      <c r="F82" s="251"/>
      <c r="G82" s="251"/>
      <c r="H82" s="251"/>
      <c r="I82" s="367"/>
      <c r="J82" s="214"/>
      <c r="K82" s="214"/>
      <c r="L82" s="214"/>
      <c r="M82" s="214"/>
      <c r="N82" s="214"/>
      <c r="O82" s="214"/>
    </row>
    <row r="83" spans="2:15" ht="16.5" customHeight="1" x14ac:dyDescent="0.25">
      <c r="B83" s="325" t="s">
        <v>44</v>
      </c>
      <c r="C83" s="353"/>
      <c r="D83" s="353"/>
      <c r="E83" s="354"/>
      <c r="F83" s="354"/>
      <c r="G83" s="355"/>
      <c r="H83" s="263">
        <f>ROUND(SUM(H75:H78),2)</f>
        <v>412.84</v>
      </c>
      <c r="I83" s="368"/>
      <c r="J83" s="214"/>
      <c r="K83" s="214"/>
      <c r="L83" s="214"/>
      <c r="M83" s="214"/>
      <c r="N83" s="214"/>
      <c r="O83" s="214"/>
    </row>
    <row r="84" spans="2:15" x14ac:dyDescent="0.25">
      <c r="J84" s="214"/>
      <c r="K84" s="214"/>
      <c r="L84" s="214"/>
      <c r="M84" s="214"/>
      <c r="N84" s="214"/>
    </row>
    <row r="85" spans="2:15" x14ac:dyDescent="0.25">
      <c r="J85" s="214"/>
      <c r="K85" s="214"/>
      <c r="L85" s="214"/>
      <c r="M85" s="214"/>
      <c r="N85" s="214"/>
    </row>
    <row r="86" spans="2:15" x14ac:dyDescent="0.25">
      <c r="B86" s="352" t="s">
        <v>301</v>
      </c>
      <c r="C86" s="245"/>
      <c r="D86" s="245"/>
      <c r="E86" s="245"/>
      <c r="F86" s="245"/>
      <c r="G86" s="245"/>
      <c r="H86" s="245"/>
      <c r="I86" s="46"/>
      <c r="J86" s="214"/>
      <c r="K86" s="214"/>
      <c r="L86" s="214"/>
      <c r="M86" s="214"/>
      <c r="N86" s="214"/>
    </row>
    <row r="87" spans="2:15" x14ac:dyDescent="0.25">
      <c r="J87" s="214"/>
      <c r="K87" s="214"/>
      <c r="L87" s="214"/>
      <c r="M87" s="214"/>
      <c r="N87" s="214"/>
    </row>
    <row r="88" spans="2:15" x14ac:dyDescent="0.25">
      <c r="C88" s="256"/>
      <c r="D88" s="256"/>
      <c r="E88" s="88"/>
      <c r="F88" s="88"/>
      <c r="G88" s="88"/>
      <c r="H88" s="239" t="str">
        <f>H73</f>
        <v>Faturista</v>
      </c>
      <c r="I88" s="332"/>
      <c r="J88" s="214"/>
      <c r="K88" s="214"/>
      <c r="L88" s="214"/>
      <c r="M88" s="214"/>
      <c r="N88" s="214"/>
    </row>
    <row r="89" spans="2:15" ht="16.5" customHeight="1" x14ac:dyDescent="0.25">
      <c r="B89" s="227">
        <v>2</v>
      </c>
      <c r="C89" s="342" t="s">
        <v>302</v>
      </c>
      <c r="D89" s="343"/>
      <c r="E89" s="343"/>
      <c r="F89" s="343"/>
      <c r="G89" s="221"/>
      <c r="H89" s="221" t="s">
        <v>263</v>
      </c>
      <c r="I89" s="88"/>
      <c r="J89" s="214"/>
      <c r="K89" s="214"/>
      <c r="L89" s="214"/>
      <c r="M89" s="214"/>
      <c r="N89" s="214"/>
      <c r="O89" s="214"/>
    </row>
    <row r="90" spans="2:15" ht="21" customHeight="1" x14ac:dyDescent="0.25">
      <c r="B90" s="222" t="s">
        <v>274</v>
      </c>
      <c r="C90" s="344" t="s">
        <v>275</v>
      </c>
      <c r="D90" s="317"/>
      <c r="E90" s="317"/>
      <c r="F90" s="317"/>
      <c r="G90" s="305"/>
      <c r="H90" s="224">
        <f>H53</f>
        <v>302.24</v>
      </c>
      <c r="I90" s="334"/>
      <c r="J90" s="214"/>
      <c r="K90" s="214"/>
      <c r="L90" s="214"/>
      <c r="M90" s="214"/>
      <c r="N90" s="214"/>
      <c r="O90" s="214"/>
    </row>
    <row r="91" spans="2:15" ht="16.5" customHeight="1" x14ac:dyDescent="0.25">
      <c r="B91" s="222" t="s">
        <v>279</v>
      </c>
      <c r="C91" s="344" t="s">
        <v>280</v>
      </c>
      <c r="D91" s="317"/>
      <c r="E91" s="317"/>
      <c r="F91" s="317"/>
      <c r="G91" s="305"/>
      <c r="H91" s="224">
        <f>H68</f>
        <v>620.01</v>
      </c>
      <c r="I91" s="334"/>
      <c r="J91" s="214"/>
      <c r="K91" s="214"/>
      <c r="L91" s="214"/>
      <c r="M91" s="214"/>
      <c r="N91" s="214"/>
      <c r="O91" s="214"/>
    </row>
    <row r="92" spans="2:15" ht="16.5" customHeight="1" x14ac:dyDescent="0.25">
      <c r="B92" s="222" t="s">
        <v>290</v>
      </c>
      <c r="C92" s="344" t="s">
        <v>291</v>
      </c>
      <c r="D92" s="317"/>
      <c r="E92" s="317"/>
      <c r="F92" s="317"/>
      <c r="G92" s="305"/>
      <c r="H92" s="224">
        <f>H83</f>
        <v>412.84</v>
      </c>
      <c r="I92" s="334"/>
      <c r="J92" s="214"/>
      <c r="K92" s="214"/>
      <c r="L92" s="214"/>
      <c r="M92" s="214"/>
      <c r="N92" s="214"/>
      <c r="O92" s="214"/>
    </row>
    <row r="93" spans="2:15" ht="16.5" customHeight="1" x14ac:dyDescent="0.25">
      <c r="B93" s="345" t="s">
        <v>44</v>
      </c>
      <c r="C93" s="346"/>
      <c r="D93" s="346"/>
      <c r="E93" s="347"/>
      <c r="F93" s="347"/>
      <c r="G93" s="348"/>
      <c r="H93" s="243">
        <f>ROUND(SUM(H90:H92),2)</f>
        <v>1335.09</v>
      </c>
      <c r="I93" s="349"/>
      <c r="J93" s="214"/>
      <c r="K93" s="214"/>
      <c r="L93" s="214"/>
      <c r="M93" s="214"/>
      <c r="N93" s="214"/>
      <c r="O93" s="214"/>
    </row>
    <row r="94" spans="2:15" x14ac:dyDescent="0.25">
      <c r="B94" s="89"/>
      <c r="J94" s="214"/>
      <c r="K94" s="214"/>
      <c r="L94" s="214"/>
      <c r="M94" s="214"/>
      <c r="N94" s="214"/>
    </row>
    <row r="95" spans="2:15" x14ac:dyDescent="0.25">
      <c r="J95" s="214"/>
      <c r="K95" s="214"/>
      <c r="L95" s="214"/>
      <c r="M95" s="214"/>
      <c r="N95" s="214"/>
    </row>
    <row r="96" spans="2:15" x14ac:dyDescent="0.25">
      <c r="B96" s="369" t="s">
        <v>303</v>
      </c>
      <c r="C96" s="255"/>
      <c r="D96" s="255"/>
      <c r="E96" s="255"/>
      <c r="F96" s="255"/>
      <c r="G96" s="255"/>
      <c r="H96" s="255"/>
      <c r="I96" s="370"/>
      <c r="J96" s="214"/>
      <c r="K96" s="214"/>
      <c r="L96" s="214"/>
      <c r="M96" s="214"/>
      <c r="N96" s="214"/>
    </row>
    <row r="97" spans="2:15" x14ac:dyDescent="0.25">
      <c r="B97" s="256"/>
      <c r="C97" s="256"/>
      <c r="D97" s="256"/>
      <c r="E97" s="256"/>
      <c r="F97" s="256"/>
      <c r="G97" s="256"/>
      <c r="J97" s="214"/>
      <c r="K97" s="214"/>
      <c r="L97" s="214"/>
      <c r="M97" s="214"/>
      <c r="N97" s="214"/>
    </row>
    <row r="98" spans="2:15" x14ac:dyDescent="0.25">
      <c r="B98" s="256"/>
      <c r="C98" s="256"/>
      <c r="D98" s="256"/>
      <c r="E98" s="88"/>
      <c r="F98" s="88"/>
      <c r="G98" s="88"/>
      <c r="H98" s="239" t="str">
        <f>H88</f>
        <v>Faturista</v>
      </c>
      <c r="I98" s="332"/>
      <c r="J98" s="214"/>
      <c r="K98" s="214"/>
      <c r="L98" s="214"/>
      <c r="M98" s="214"/>
      <c r="N98" s="214"/>
    </row>
    <row r="99" spans="2:15" ht="16.5" customHeight="1" x14ac:dyDescent="0.25">
      <c r="B99" s="257">
        <v>3</v>
      </c>
      <c r="C99" s="342" t="s">
        <v>304</v>
      </c>
      <c r="D99" s="343"/>
      <c r="E99" s="343"/>
      <c r="F99" s="343"/>
      <c r="G99" s="221"/>
      <c r="H99" s="250" t="s">
        <v>263</v>
      </c>
      <c r="I99" s="366"/>
      <c r="J99" s="214"/>
      <c r="K99" s="214"/>
      <c r="L99" s="214"/>
      <c r="M99" s="214"/>
      <c r="N99" s="214"/>
      <c r="O99" s="214"/>
    </row>
    <row r="100" spans="2:15" ht="16.5" customHeight="1" x14ac:dyDescent="0.25">
      <c r="B100" s="258" t="s">
        <v>227</v>
      </c>
      <c r="C100" s="344" t="s">
        <v>305</v>
      </c>
      <c r="D100" s="317"/>
      <c r="E100" s="317"/>
      <c r="F100" s="317"/>
      <c r="G100" s="305"/>
      <c r="H100" s="251">
        <f>(H42/12)*0.05</f>
        <v>6.1641666666666675</v>
      </c>
      <c r="I100" s="367"/>
      <c r="J100" s="214"/>
      <c r="K100" s="214"/>
      <c r="L100" s="214"/>
      <c r="M100" s="214"/>
      <c r="N100" s="214"/>
      <c r="O100" s="214"/>
    </row>
    <row r="101" spans="2:15" ht="16.5" customHeight="1" x14ac:dyDescent="0.25">
      <c r="B101" s="258" t="s">
        <v>229</v>
      </c>
      <c r="C101" s="344" t="s">
        <v>306</v>
      </c>
      <c r="D101" s="317"/>
      <c r="E101" s="317"/>
      <c r="F101" s="317"/>
      <c r="G101" s="305"/>
      <c r="H101" s="251">
        <f>H100*8%</f>
        <v>0.49313333333333342</v>
      </c>
      <c r="I101" s="367"/>
      <c r="J101" s="214"/>
      <c r="K101" s="214"/>
      <c r="L101" s="214"/>
      <c r="M101" s="214"/>
      <c r="N101" s="214"/>
      <c r="O101" s="214"/>
    </row>
    <row r="102" spans="2:15" ht="30.75" customHeight="1" x14ac:dyDescent="0.25">
      <c r="B102" s="258" t="s">
        <v>232</v>
      </c>
      <c r="C102" s="344" t="s">
        <v>382</v>
      </c>
      <c r="D102" s="317"/>
      <c r="E102" s="317"/>
      <c r="F102" s="317"/>
      <c r="G102" s="305"/>
      <c r="H102" s="261"/>
      <c r="I102" s="371"/>
      <c r="J102" s="214"/>
      <c r="K102" s="214"/>
      <c r="L102" s="214"/>
      <c r="M102" s="214"/>
      <c r="N102" s="214"/>
      <c r="O102" s="214"/>
    </row>
    <row r="103" spans="2:15" ht="28.5" customHeight="1" x14ac:dyDescent="0.25">
      <c r="B103" s="258" t="s">
        <v>234</v>
      </c>
      <c r="C103" s="344" t="s">
        <v>308</v>
      </c>
      <c r="D103" s="317"/>
      <c r="E103" s="317"/>
      <c r="F103" s="317"/>
      <c r="G103" s="305"/>
      <c r="H103" s="251">
        <f>(((H42/30)/12)*7)*95%</f>
        <v>27.327805555555553</v>
      </c>
      <c r="I103" s="367"/>
      <c r="J103" s="214"/>
      <c r="K103" s="214"/>
      <c r="L103" s="214"/>
      <c r="M103" s="214"/>
      <c r="N103" s="214"/>
      <c r="O103" s="214"/>
    </row>
    <row r="104" spans="2:15" ht="30.75" customHeight="1" x14ac:dyDescent="0.25">
      <c r="B104" s="372" t="s">
        <v>267</v>
      </c>
      <c r="C104" s="373" t="s">
        <v>309</v>
      </c>
      <c r="D104" s="317"/>
      <c r="E104" s="317"/>
      <c r="F104" s="317"/>
      <c r="G104" s="305"/>
      <c r="H104" s="263">
        <f>H103*$F$68</f>
        <v>9.510076333333334</v>
      </c>
      <c r="I104" s="367"/>
      <c r="J104" s="214"/>
      <c r="K104" s="214"/>
      <c r="L104" s="214"/>
      <c r="M104" s="214"/>
      <c r="N104" s="214"/>
      <c r="O104" s="214"/>
    </row>
    <row r="105" spans="2:15" ht="30.75" customHeight="1" x14ac:dyDescent="0.25">
      <c r="B105" s="258" t="s">
        <v>269</v>
      </c>
      <c r="C105" s="344" t="s">
        <v>383</v>
      </c>
      <c r="D105" s="317"/>
      <c r="E105" s="317"/>
      <c r="F105" s="317"/>
      <c r="G105" s="305"/>
      <c r="H105" s="251">
        <f>4%*H42</f>
        <v>59.176000000000002</v>
      </c>
      <c r="I105" s="367"/>
      <c r="J105" s="214"/>
      <c r="K105" s="214"/>
      <c r="L105" s="214"/>
      <c r="M105" s="214"/>
      <c r="N105" s="214"/>
      <c r="O105" s="214"/>
    </row>
    <row r="106" spans="2:15" ht="16.5" customHeight="1" x14ac:dyDescent="0.25">
      <c r="B106" s="345" t="s">
        <v>44</v>
      </c>
      <c r="C106" s="346"/>
      <c r="D106" s="346"/>
      <c r="E106" s="347"/>
      <c r="F106" s="347"/>
      <c r="G106" s="348"/>
      <c r="H106" s="253">
        <f>ROUND(SUM(H100:H105),2)</f>
        <v>102.67</v>
      </c>
      <c r="I106" s="368"/>
      <c r="J106" s="214"/>
      <c r="K106" s="214"/>
      <c r="L106" s="214"/>
      <c r="M106" s="214"/>
      <c r="N106" s="214"/>
      <c r="O106" s="214"/>
    </row>
    <row r="107" spans="2:15" x14ac:dyDescent="0.25">
      <c r="J107" s="214"/>
      <c r="K107" s="214"/>
      <c r="L107" s="214"/>
      <c r="M107" s="214"/>
      <c r="N107" s="214"/>
    </row>
    <row r="108" spans="2:15" x14ac:dyDescent="0.25">
      <c r="B108" s="369" t="s">
        <v>311</v>
      </c>
      <c r="C108" s="255"/>
      <c r="D108" s="255"/>
      <c r="E108" s="255"/>
      <c r="F108" s="255"/>
      <c r="G108" s="255"/>
      <c r="H108" s="255"/>
      <c r="I108" s="370"/>
      <c r="J108" s="214"/>
      <c r="K108" s="214"/>
      <c r="L108" s="214"/>
      <c r="M108" s="214"/>
      <c r="N108" s="214"/>
    </row>
    <row r="109" spans="2:15" x14ac:dyDescent="0.25">
      <c r="B109" s="374"/>
      <c r="C109" s="256"/>
      <c r="D109" s="256"/>
      <c r="E109" s="256"/>
      <c r="F109" s="256"/>
      <c r="G109" s="256"/>
      <c r="H109" s="264"/>
      <c r="I109" s="264"/>
      <c r="J109" s="214"/>
      <c r="K109" s="214"/>
      <c r="L109" s="214"/>
      <c r="M109" s="214"/>
      <c r="N109" s="214"/>
    </row>
    <row r="110" spans="2:15" x14ac:dyDescent="0.25">
      <c r="B110" s="375" t="s">
        <v>313</v>
      </c>
      <c r="C110" s="265"/>
      <c r="D110" s="265"/>
      <c r="E110" s="265"/>
      <c r="F110" s="265"/>
      <c r="G110" s="265"/>
      <c r="H110" s="265"/>
      <c r="I110" s="157"/>
      <c r="J110" s="214"/>
      <c r="K110" s="214"/>
      <c r="L110" s="214"/>
      <c r="M110" s="214"/>
      <c r="N110" s="214"/>
    </row>
    <row r="111" spans="2:15" x14ac:dyDescent="0.25">
      <c r="B111" s="266"/>
      <c r="C111" s="267"/>
      <c r="D111" s="267"/>
      <c r="E111" s="256"/>
      <c r="F111" s="256"/>
      <c r="G111" s="256"/>
      <c r="H111" s="264"/>
      <c r="I111" s="264"/>
      <c r="J111" s="214"/>
      <c r="K111" s="214"/>
      <c r="L111" s="214"/>
      <c r="M111" s="214"/>
      <c r="N111" s="214"/>
    </row>
    <row r="112" spans="2:15" x14ac:dyDescent="0.25">
      <c r="B112" s="266"/>
      <c r="C112" s="256"/>
      <c r="D112" s="256"/>
      <c r="E112" s="88"/>
      <c r="F112" s="88"/>
      <c r="G112" s="88"/>
      <c r="H112" s="239" t="str">
        <f>H98</f>
        <v>Faturista</v>
      </c>
      <c r="I112" s="332"/>
      <c r="J112" s="214"/>
      <c r="K112" s="214"/>
      <c r="L112" s="214"/>
      <c r="M112" s="214"/>
      <c r="N112" s="214"/>
    </row>
    <row r="113" spans="2:15" ht="16.5" customHeight="1" x14ac:dyDescent="0.25">
      <c r="B113" s="257" t="s">
        <v>314</v>
      </c>
      <c r="C113" s="342" t="s">
        <v>315</v>
      </c>
      <c r="D113" s="343"/>
      <c r="E113" s="343"/>
      <c r="F113" s="343"/>
      <c r="G113" s="221"/>
      <c r="H113" s="250" t="s">
        <v>263</v>
      </c>
      <c r="I113" s="366"/>
      <c r="J113" s="214"/>
      <c r="K113" s="214"/>
      <c r="L113" s="214"/>
      <c r="M113" s="214"/>
      <c r="N113" s="214"/>
      <c r="O113" s="214"/>
    </row>
    <row r="114" spans="2:15" ht="16.5" customHeight="1" x14ac:dyDescent="0.25">
      <c r="B114" s="258" t="s">
        <v>227</v>
      </c>
      <c r="C114" s="344" t="s">
        <v>384</v>
      </c>
      <c r="D114" s="317"/>
      <c r="E114" s="317"/>
      <c r="F114" s="317"/>
      <c r="G114" s="305"/>
      <c r="H114" s="251"/>
      <c r="I114" s="367"/>
      <c r="J114" s="214"/>
      <c r="K114" s="214"/>
      <c r="L114" s="214"/>
      <c r="M114" s="214"/>
      <c r="N114" s="214"/>
      <c r="O114" s="214"/>
    </row>
    <row r="115" spans="2:15" ht="16.5" customHeight="1" x14ac:dyDescent="0.25">
      <c r="B115" s="258" t="s">
        <v>229</v>
      </c>
      <c r="C115" s="344" t="s">
        <v>385</v>
      </c>
      <c r="D115" s="317"/>
      <c r="E115" s="317"/>
      <c r="F115" s="317"/>
      <c r="G115" s="305"/>
      <c r="H115" s="251">
        <f>0.28%*H42</f>
        <v>4.1423200000000007</v>
      </c>
      <c r="I115" s="367"/>
      <c r="J115" s="214"/>
      <c r="K115" s="214"/>
      <c r="L115" s="214"/>
      <c r="M115" s="214"/>
      <c r="N115" s="214"/>
      <c r="O115" s="214"/>
    </row>
    <row r="116" spans="2:15" ht="16.5" customHeight="1" x14ac:dyDescent="0.25">
      <c r="B116" s="258" t="s">
        <v>232</v>
      </c>
      <c r="C116" s="344" t="s">
        <v>386</v>
      </c>
      <c r="D116" s="317"/>
      <c r="E116" s="317"/>
      <c r="F116" s="317"/>
      <c r="G116" s="305"/>
      <c r="H116" s="251">
        <f>0.02%*H42</f>
        <v>0.29588000000000003</v>
      </c>
      <c r="I116" s="367"/>
      <c r="J116" s="214"/>
      <c r="K116" s="214"/>
      <c r="L116" s="214"/>
      <c r="M116" s="214"/>
      <c r="N116" s="214"/>
      <c r="O116" s="214"/>
    </row>
    <row r="117" spans="2:15" ht="16.5" customHeight="1" x14ac:dyDescent="0.25">
      <c r="B117" s="258" t="s">
        <v>234</v>
      </c>
      <c r="C117" s="344" t="s">
        <v>387</v>
      </c>
      <c r="D117" s="317"/>
      <c r="E117" s="317"/>
      <c r="F117" s="317"/>
      <c r="G117" s="305"/>
      <c r="H117" s="251">
        <f>0.03%*H42</f>
        <v>0.44381999999999999</v>
      </c>
      <c r="I117" s="367"/>
      <c r="J117" s="214"/>
      <c r="K117" s="214"/>
      <c r="L117" s="214"/>
      <c r="M117" s="214"/>
      <c r="N117" s="214"/>
      <c r="O117" s="214"/>
    </row>
    <row r="118" spans="2:15" ht="16.5" customHeight="1" x14ac:dyDescent="0.25">
      <c r="B118" s="258" t="s">
        <v>267</v>
      </c>
      <c r="C118" s="344" t="s">
        <v>388</v>
      </c>
      <c r="D118" s="317"/>
      <c r="E118" s="317"/>
      <c r="F118" s="317"/>
      <c r="G118" s="305"/>
      <c r="H118" s="251"/>
      <c r="I118" s="367"/>
      <c r="J118" s="214"/>
      <c r="K118" s="214"/>
      <c r="L118" s="214"/>
      <c r="M118" s="214"/>
      <c r="N118" s="214"/>
      <c r="O118" s="214"/>
    </row>
    <row r="119" spans="2:15" ht="16.5" customHeight="1" x14ac:dyDescent="0.25">
      <c r="B119" s="258" t="s">
        <v>269</v>
      </c>
      <c r="C119" s="344" t="s">
        <v>389</v>
      </c>
      <c r="D119" s="317"/>
      <c r="E119" s="317"/>
      <c r="F119" s="317"/>
      <c r="G119" s="305"/>
      <c r="H119" s="251">
        <f>1.66%*H42</f>
        <v>24.558040000000002</v>
      </c>
      <c r="I119" s="367"/>
      <c r="J119" s="214"/>
      <c r="K119" s="214"/>
      <c r="L119" s="214"/>
      <c r="M119" s="214"/>
      <c r="N119" s="214"/>
      <c r="O119" s="214"/>
    </row>
    <row r="120" spans="2:15" ht="16.5" customHeight="1" x14ac:dyDescent="0.25">
      <c r="B120" s="372" t="s">
        <v>270</v>
      </c>
      <c r="C120" s="373" t="s">
        <v>322</v>
      </c>
      <c r="D120" s="300"/>
      <c r="E120" s="300"/>
      <c r="F120" s="300"/>
      <c r="G120" s="301"/>
      <c r="H120" s="263">
        <f>SUM(H114:H119)*$F$68</f>
        <v>10.245140880000001</v>
      </c>
      <c r="I120" s="368"/>
      <c r="J120" s="214"/>
      <c r="K120" s="214"/>
      <c r="L120" s="214"/>
      <c r="M120" s="214"/>
      <c r="N120" s="214"/>
      <c r="O120" s="214"/>
    </row>
    <row r="121" spans="2:15" ht="16.5" customHeight="1" x14ac:dyDescent="0.25">
      <c r="B121" s="325" t="s">
        <v>288</v>
      </c>
      <c r="C121" s="353"/>
      <c r="D121" s="353"/>
      <c r="E121" s="354"/>
      <c r="F121" s="354"/>
      <c r="G121" s="355"/>
      <c r="H121" s="263">
        <f>ROUND(SUM(H114:H120),2)</f>
        <v>39.69</v>
      </c>
      <c r="I121" s="368"/>
      <c r="J121" s="214"/>
      <c r="K121" s="214"/>
      <c r="L121" s="214"/>
      <c r="M121" s="214"/>
      <c r="N121" s="214"/>
      <c r="O121" s="214"/>
    </row>
    <row r="122" spans="2:15" x14ac:dyDescent="0.25">
      <c r="H122" s="264"/>
      <c r="I122" s="264"/>
      <c r="J122" s="214"/>
      <c r="K122" s="214"/>
      <c r="L122" s="214"/>
      <c r="M122" s="214"/>
      <c r="N122" s="214"/>
    </row>
    <row r="123" spans="2:15" x14ac:dyDescent="0.25">
      <c r="B123" s="375" t="s">
        <v>390</v>
      </c>
      <c r="C123" s="265"/>
      <c r="D123" s="265"/>
      <c r="E123" s="265"/>
      <c r="F123" s="265"/>
      <c r="G123" s="265"/>
      <c r="H123" s="265"/>
      <c r="I123" s="157"/>
      <c r="J123" s="214"/>
      <c r="K123" s="214"/>
      <c r="L123" s="214"/>
      <c r="M123" s="214"/>
      <c r="N123" s="214"/>
    </row>
    <row r="124" spans="2:15" x14ac:dyDescent="0.25">
      <c r="B124" s="266"/>
      <c r="C124" s="256"/>
      <c r="D124" s="256"/>
      <c r="E124" s="256"/>
      <c r="F124" s="256"/>
      <c r="G124" s="256"/>
      <c r="J124" s="214"/>
      <c r="K124" s="214"/>
      <c r="L124" s="214"/>
      <c r="M124" s="214"/>
      <c r="N124" s="214"/>
    </row>
    <row r="125" spans="2:15" x14ac:dyDescent="0.25">
      <c r="B125" s="266"/>
      <c r="C125" s="256"/>
      <c r="D125" s="256"/>
      <c r="E125" s="88"/>
      <c r="F125" s="88"/>
      <c r="G125" s="88"/>
      <c r="H125" s="239" t="str">
        <f>H112</f>
        <v>Faturista</v>
      </c>
      <c r="I125" s="332"/>
      <c r="J125" s="214"/>
      <c r="K125" s="214"/>
      <c r="L125" s="214"/>
      <c r="M125" s="214"/>
      <c r="N125" s="214"/>
    </row>
    <row r="126" spans="2:15" ht="16.5" customHeight="1" x14ac:dyDescent="0.25">
      <c r="B126" s="257" t="s">
        <v>324</v>
      </c>
      <c r="C126" s="342" t="s">
        <v>391</v>
      </c>
      <c r="D126" s="343"/>
      <c r="E126" s="343"/>
      <c r="F126" s="343"/>
      <c r="G126" s="221"/>
      <c r="H126" s="250" t="s">
        <v>263</v>
      </c>
      <c r="I126" s="366"/>
      <c r="J126" s="214"/>
      <c r="K126" s="214"/>
      <c r="L126" s="214"/>
      <c r="M126" s="214"/>
      <c r="N126" s="214"/>
    </row>
    <row r="127" spans="2:15" ht="16.5" customHeight="1" x14ac:dyDescent="0.25">
      <c r="B127" s="258" t="s">
        <v>227</v>
      </c>
      <c r="C127" s="344" t="s">
        <v>392</v>
      </c>
      <c r="D127" s="317"/>
      <c r="E127" s="317"/>
      <c r="F127" s="317"/>
      <c r="G127" s="305"/>
      <c r="H127" s="224">
        <f>(((H42+H42/3)*(4/12))/12)*0.57%</f>
        <v>0.31231777777777775</v>
      </c>
      <c r="I127" s="366"/>
      <c r="J127" s="214"/>
      <c r="K127" s="214"/>
      <c r="L127" s="214"/>
      <c r="M127" s="214"/>
      <c r="N127" s="214"/>
    </row>
    <row r="128" spans="2:15" ht="32.25" customHeight="1" x14ac:dyDescent="0.25">
      <c r="B128" s="372" t="s">
        <v>229</v>
      </c>
      <c r="C128" s="344" t="s">
        <v>393</v>
      </c>
      <c r="D128" s="317"/>
      <c r="E128" s="317"/>
      <c r="F128" s="317"/>
      <c r="G128" s="305"/>
      <c r="H128" s="263">
        <f>H127*F68</f>
        <v>0.10868658666666667</v>
      </c>
      <c r="I128" s="366"/>
      <c r="J128" s="214"/>
      <c r="K128" s="214"/>
      <c r="L128" s="214"/>
      <c r="M128" s="214"/>
      <c r="N128" s="214"/>
    </row>
    <row r="129" spans="2:15" ht="36" customHeight="1" x14ac:dyDescent="0.25">
      <c r="B129" s="372" t="s">
        <v>232</v>
      </c>
      <c r="C129" s="501" t="s">
        <v>394</v>
      </c>
      <c r="D129" s="501"/>
      <c r="E129" s="501"/>
      <c r="F129" s="501"/>
      <c r="G129" s="501"/>
      <c r="H129" s="263">
        <f>(((H42+H51)*(4/12))*0.57%)*F68</f>
        <v>1.0596616140240001</v>
      </c>
      <c r="I129" s="371"/>
      <c r="J129" s="214"/>
      <c r="K129" s="214"/>
      <c r="L129" s="214"/>
      <c r="M129" s="214"/>
      <c r="N129" s="214"/>
    </row>
    <row r="130" spans="2:15" ht="16.5" customHeight="1" x14ac:dyDescent="0.25">
      <c r="B130" s="325" t="s">
        <v>44</v>
      </c>
      <c r="C130" s="353"/>
      <c r="D130" s="353"/>
      <c r="E130" s="354"/>
      <c r="F130" s="354"/>
      <c r="G130" s="355"/>
      <c r="H130" s="224">
        <f>ROUND(SUM(H127:H129),2)</f>
        <v>1.48</v>
      </c>
      <c r="I130" s="371"/>
      <c r="J130" s="214"/>
      <c r="K130" s="214"/>
      <c r="L130" s="214"/>
      <c r="M130" s="214"/>
      <c r="N130" s="214"/>
    </row>
    <row r="131" spans="2:15" x14ac:dyDescent="0.25">
      <c r="H131" s="264"/>
      <c r="I131" s="264"/>
      <c r="J131" s="214"/>
      <c r="K131" s="214"/>
      <c r="L131" s="214"/>
      <c r="M131" s="214"/>
      <c r="N131" s="214"/>
    </row>
    <row r="132" spans="2:15" x14ac:dyDescent="0.25">
      <c r="H132" s="264"/>
      <c r="I132" s="264"/>
      <c r="J132" s="214"/>
      <c r="K132" s="214"/>
      <c r="L132" s="214"/>
      <c r="M132" s="214"/>
      <c r="N132" s="214"/>
    </row>
    <row r="133" spans="2:15" x14ac:dyDescent="0.25">
      <c r="H133" s="264"/>
      <c r="I133" s="264"/>
      <c r="J133" s="214"/>
      <c r="K133" s="214"/>
      <c r="L133" s="214"/>
      <c r="M133" s="214"/>
      <c r="N133" s="214"/>
    </row>
    <row r="134" spans="2:15" x14ac:dyDescent="0.25">
      <c r="B134" s="375" t="s">
        <v>323</v>
      </c>
      <c r="C134" s="265"/>
      <c r="D134" s="265"/>
      <c r="E134" s="265"/>
      <c r="F134" s="265"/>
      <c r="G134" s="265"/>
      <c r="H134" s="265"/>
      <c r="I134" s="157"/>
      <c r="J134" s="214"/>
      <c r="K134" s="214"/>
      <c r="L134" s="214"/>
      <c r="M134" s="214"/>
      <c r="N134" s="214"/>
    </row>
    <row r="135" spans="2:15" x14ac:dyDescent="0.25">
      <c r="B135" s="266"/>
      <c r="C135" s="256"/>
      <c r="D135" s="256"/>
      <c r="E135" s="256"/>
      <c r="F135" s="256"/>
      <c r="G135" s="256"/>
      <c r="J135" s="214"/>
      <c r="K135" s="214"/>
      <c r="L135" s="214"/>
      <c r="M135" s="214"/>
      <c r="N135" s="214"/>
    </row>
    <row r="136" spans="2:15" x14ac:dyDescent="0.25">
      <c r="B136" s="266"/>
      <c r="C136" s="256"/>
      <c r="D136" s="256"/>
      <c r="E136" s="88"/>
      <c r="F136" s="88"/>
      <c r="G136" s="88"/>
      <c r="H136" s="239" t="str">
        <f>H112</f>
        <v>Faturista</v>
      </c>
      <c r="I136" s="332"/>
      <c r="J136" s="214"/>
      <c r="K136" s="214"/>
      <c r="L136" s="214"/>
      <c r="M136" s="214"/>
      <c r="N136" s="214"/>
    </row>
    <row r="137" spans="2:15" ht="16.5" customHeight="1" x14ac:dyDescent="0.25">
      <c r="B137" s="257" t="s">
        <v>324</v>
      </c>
      <c r="C137" s="342" t="s">
        <v>325</v>
      </c>
      <c r="D137" s="343"/>
      <c r="E137" s="343"/>
      <c r="F137" s="343"/>
      <c r="G137" s="221"/>
      <c r="H137" s="250" t="s">
        <v>263</v>
      </c>
      <c r="I137" s="366"/>
      <c r="J137" s="214"/>
      <c r="K137" s="214"/>
      <c r="L137" s="214"/>
      <c r="M137" s="214"/>
      <c r="N137" s="214"/>
      <c r="O137" s="214"/>
    </row>
    <row r="138" spans="2:15" ht="19.5" customHeight="1" x14ac:dyDescent="0.25">
      <c r="B138" s="258" t="s">
        <v>227</v>
      </c>
      <c r="C138" s="344" t="s">
        <v>395</v>
      </c>
      <c r="D138" s="317"/>
      <c r="E138" s="317"/>
      <c r="F138" s="317"/>
      <c r="G138" s="305"/>
      <c r="H138" s="261"/>
      <c r="I138" s="371"/>
      <c r="J138" s="214"/>
      <c r="K138" s="214"/>
      <c r="L138" s="214"/>
      <c r="M138" s="214"/>
      <c r="N138" s="214"/>
      <c r="O138" s="214"/>
    </row>
    <row r="139" spans="2:15" ht="16.5" customHeight="1" x14ac:dyDescent="0.25">
      <c r="B139" s="325" t="s">
        <v>44</v>
      </c>
      <c r="C139" s="353"/>
      <c r="D139" s="353"/>
      <c r="E139" s="354"/>
      <c r="F139" s="354"/>
      <c r="G139" s="355"/>
      <c r="H139" s="261">
        <f>SUM(H138)</f>
        <v>0</v>
      </c>
      <c r="I139" s="371"/>
      <c r="J139" s="214"/>
      <c r="K139" s="214"/>
      <c r="L139" s="214"/>
      <c r="M139" s="214"/>
      <c r="N139" s="214"/>
      <c r="O139" s="214"/>
    </row>
    <row r="140" spans="2:15" x14ac:dyDescent="0.25">
      <c r="B140" s="273"/>
      <c r="C140" s="273"/>
      <c r="D140" s="273"/>
      <c r="E140" s="273"/>
      <c r="F140" s="273"/>
      <c r="G140" s="273"/>
      <c r="J140" s="214"/>
      <c r="K140" s="214"/>
      <c r="L140" s="214"/>
      <c r="M140" s="214"/>
      <c r="N140" s="214"/>
    </row>
    <row r="141" spans="2:15" x14ac:dyDescent="0.25">
      <c r="B141" s="273"/>
      <c r="C141" s="273"/>
      <c r="D141" s="273"/>
      <c r="E141" s="273"/>
      <c r="F141" s="273"/>
      <c r="G141" s="273"/>
      <c r="J141" s="214"/>
      <c r="K141" s="214"/>
      <c r="L141" s="214"/>
      <c r="M141" s="214"/>
      <c r="N141" s="214"/>
    </row>
    <row r="142" spans="2:15" x14ac:dyDescent="0.25">
      <c r="B142" s="375" t="s">
        <v>327</v>
      </c>
      <c r="C142" s="265"/>
      <c r="D142" s="265"/>
      <c r="E142" s="265"/>
      <c r="F142" s="265"/>
      <c r="G142" s="265"/>
      <c r="H142" s="265"/>
      <c r="I142" s="157"/>
      <c r="J142" s="214"/>
      <c r="K142" s="214"/>
      <c r="L142" s="214"/>
      <c r="M142" s="214"/>
      <c r="N142" s="214"/>
    </row>
    <row r="143" spans="2:15" x14ac:dyDescent="0.25">
      <c r="B143" s="266"/>
      <c r="C143" s="256"/>
      <c r="D143" s="256"/>
      <c r="E143" s="256"/>
      <c r="F143" s="256"/>
      <c r="G143" s="256"/>
      <c r="J143" s="214"/>
      <c r="K143" s="214"/>
      <c r="L143" s="214"/>
      <c r="M143" s="214"/>
      <c r="N143" s="214"/>
    </row>
    <row r="144" spans="2:15" x14ac:dyDescent="0.25">
      <c r="B144" s="266"/>
      <c r="C144" s="256"/>
      <c r="D144" s="256"/>
      <c r="E144" s="88"/>
      <c r="F144" s="88"/>
      <c r="G144" s="88"/>
      <c r="H144" s="239" t="str">
        <f>H136</f>
        <v>Faturista</v>
      </c>
      <c r="I144" s="332"/>
      <c r="J144" s="214"/>
      <c r="K144" s="214"/>
      <c r="L144" s="214"/>
      <c r="M144" s="214"/>
      <c r="N144" s="214"/>
    </row>
    <row r="145" spans="2:15" ht="16.5" customHeight="1" x14ac:dyDescent="0.25">
      <c r="B145" s="257">
        <v>4</v>
      </c>
      <c r="C145" s="342" t="s">
        <v>328</v>
      </c>
      <c r="D145" s="343"/>
      <c r="E145" s="343"/>
      <c r="F145" s="343"/>
      <c r="G145" s="221"/>
      <c r="H145" s="250" t="s">
        <v>263</v>
      </c>
      <c r="I145" s="366"/>
      <c r="J145" s="214"/>
      <c r="K145" s="214"/>
      <c r="L145" s="214"/>
      <c r="M145" s="214"/>
      <c r="N145" s="214"/>
      <c r="O145" s="214"/>
    </row>
    <row r="146" spans="2:15" ht="16.5" customHeight="1" x14ac:dyDescent="0.25">
      <c r="B146" s="258" t="s">
        <v>314</v>
      </c>
      <c r="C146" s="344" t="s">
        <v>396</v>
      </c>
      <c r="D146" s="317"/>
      <c r="E146" s="317"/>
      <c r="F146" s="317"/>
      <c r="G146" s="305"/>
      <c r="H146" s="251">
        <f>H121</f>
        <v>39.69</v>
      </c>
      <c r="I146" s="367"/>
      <c r="J146" s="214"/>
      <c r="K146" s="214"/>
      <c r="L146" s="214"/>
      <c r="M146" s="214"/>
      <c r="N146" s="214"/>
      <c r="O146" s="214"/>
    </row>
    <row r="147" spans="2:15" ht="16.5" customHeight="1" x14ac:dyDescent="0.25">
      <c r="B147" s="258" t="s">
        <v>397</v>
      </c>
      <c r="C147" s="344" t="s">
        <v>398</v>
      </c>
      <c r="D147" s="317"/>
      <c r="E147" s="317"/>
      <c r="F147" s="317"/>
      <c r="G147" s="305"/>
      <c r="H147" s="251">
        <f>H130</f>
        <v>1.48</v>
      </c>
      <c r="I147" s="367"/>
      <c r="J147" s="214"/>
      <c r="K147" s="214"/>
      <c r="L147" s="214"/>
      <c r="M147" s="214"/>
      <c r="N147" s="214"/>
      <c r="O147" s="214"/>
    </row>
    <row r="148" spans="2:15" ht="16.5" customHeight="1" x14ac:dyDescent="0.25">
      <c r="B148" s="258" t="s">
        <v>324</v>
      </c>
      <c r="C148" s="344" t="s">
        <v>399</v>
      </c>
      <c r="D148" s="317"/>
      <c r="E148" s="317"/>
      <c r="F148" s="317"/>
      <c r="G148" s="305"/>
      <c r="H148" s="251">
        <f>H139</f>
        <v>0</v>
      </c>
      <c r="I148" s="367"/>
      <c r="J148" s="214"/>
      <c r="K148" s="214"/>
      <c r="L148" s="214"/>
      <c r="M148" s="214"/>
      <c r="N148" s="214"/>
      <c r="O148" s="214"/>
    </row>
    <row r="149" spans="2:15" ht="16.5" customHeight="1" x14ac:dyDescent="0.25">
      <c r="B149" s="345" t="s">
        <v>44</v>
      </c>
      <c r="C149" s="346"/>
      <c r="D149" s="346"/>
      <c r="E149" s="347"/>
      <c r="F149" s="347"/>
      <c r="G149" s="348"/>
      <c r="H149" s="274">
        <f>ROUND(SUM(H146:H148),2)</f>
        <v>41.17</v>
      </c>
      <c r="I149" s="367"/>
      <c r="J149" s="214"/>
      <c r="K149" s="214"/>
      <c r="L149" s="214"/>
      <c r="M149" s="214"/>
      <c r="N149" s="214"/>
      <c r="O149" s="214"/>
    </row>
    <row r="150" spans="2:15" x14ac:dyDescent="0.25">
      <c r="B150" s="273"/>
      <c r="C150" s="273"/>
      <c r="D150" s="273"/>
      <c r="E150" s="273"/>
      <c r="F150" s="273"/>
      <c r="G150" s="273"/>
      <c r="J150" s="214"/>
      <c r="K150" s="214"/>
      <c r="L150" s="214"/>
      <c r="M150" s="214"/>
      <c r="N150" s="214"/>
    </row>
    <row r="151" spans="2:15" x14ac:dyDescent="0.25">
      <c r="B151" s="369" t="s">
        <v>329</v>
      </c>
      <c r="C151" s="255"/>
      <c r="D151" s="255"/>
      <c r="E151" s="255"/>
      <c r="F151" s="255"/>
      <c r="G151" s="255"/>
      <c r="H151" s="255"/>
      <c r="I151" s="370"/>
      <c r="J151" s="214"/>
      <c r="K151" s="214"/>
      <c r="L151" s="214"/>
      <c r="M151" s="214"/>
      <c r="N151" s="214"/>
    </row>
    <row r="152" spans="2:15" x14ac:dyDescent="0.25">
      <c r="B152" s="256"/>
      <c r="C152" s="256"/>
      <c r="D152" s="256"/>
      <c r="E152" s="256"/>
      <c r="F152" s="256"/>
      <c r="G152" s="256"/>
      <c r="J152" s="214"/>
      <c r="K152" s="214"/>
      <c r="L152" s="214"/>
      <c r="M152" s="214"/>
      <c r="N152" s="214"/>
    </row>
    <row r="153" spans="2:15" x14ac:dyDescent="0.25">
      <c r="B153" s="256"/>
      <c r="C153" s="256"/>
      <c r="D153" s="256"/>
      <c r="E153" s="88"/>
      <c r="F153" s="88"/>
      <c r="G153" s="88"/>
      <c r="H153" s="239" t="str">
        <f>H144</f>
        <v>Faturista</v>
      </c>
      <c r="I153" s="332"/>
      <c r="J153" s="214"/>
      <c r="K153" s="214"/>
      <c r="L153" s="214"/>
      <c r="M153" s="214"/>
      <c r="N153" s="214"/>
    </row>
    <row r="154" spans="2:15" ht="16.5" customHeight="1" x14ac:dyDescent="0.25">
      <c r="B154" s="257">
        <v>5</v>
      </c>
      <c r="C154" s="342" t="s">
        <v>217</v>
      </c>
      <c r="D154" s="343"/>
      <c r="E154" s="343"/>
      <c r="F154" s="343"/>
      <c r="G154" s="221"/>
      <c r="H154" s="250" t="s">
        <v>263</v>
      </c>
      <c r="I154" s="366"/>
      <c r="J154" s="214"/>
      <c r="K154" s="214"/>
      <c r="L154" s="214"/>
      <c r="M154" s="214"/>
      <c r="N154" s="214"/>
      <c r="O154" s="214"/>
    </row>
    <row r="155" spans="2:15" ht="16.5" customHeight="1" x14ac:dyDescent="0.25">
      <c r="B155" s="258" t="s">
        <v>227</v>
      </c>
      <c r="C155" s="344" t="s">
        <v>400</v>
      </c>
      <c r="D155" s="317"/>
      <c r="E155" s="317"/>
      <c r="F155" s="317"/>
      <c r="G155" s="305"/>
      <c r="H155" s="251"/>
      <c r="I155" s="367"/>
      <c r="J155" s="214"/>
      <c r="K155" s="214"/>
      <c r="L155" s="214"/>
      <c r="M155" s="214"/>
      <c r="N155" s="214"/>
      <c r="O155" s="214"/>
    </row>
    <row r="156" spans="2:15" ht="16.5" customHeight="1" x14ac:dyDescent="0.25">
      <c r="B156" s="258" t="s">
        <v>229</v>
      </c>
      <c r="C156" s="344" t="s">
        <v>401</v>
      </c>
      <c r="D156" s="317"/>
      <c r="E156" s="317"/>
      <c r="F156" s="317"/>
      <c r="G156" s="305"/>
      <c r="H156" s="251">
        <v>1.9</v>
      </c>
      <c r="I156" s="367"/>
      <c r="J156" s="214"/>
      <c r="K156" s="214"/>
      <c r="L156" s="214"/>
      <c r="M156" s="214"/>
      <c r="N156" s="214"/>
      <c r="O156" s="214"/>
    </row>
    <row r="157" spans="2:15" ht="16.5" customHeight="1" x14ac:dyDescent="0.25">
      <c r="B157" s="258" t="s">
        <v>232</v>
      </c>
      <c r="C157" s="344" t="s">
        <v>402</v>
      </c>
      <c r="D157" s="317"/>
      <c r="E157" s="317"/>
      <c r="F157" s="317"/>
      <c r="G157" s="305"/>
      <c r="H157" s="251"/>
      <c r="I157" s="367"/>
      <c r="J157" s="214"/>
      <c r="K157" s="214"/>
      <c r="L157" s="214"/>
      <c r="M157" s="214"/>
      <c r="N157" s="214"/>
      <c r="O157" s="214"/>
    </row>
    <row r="158" spans="2:15" ht="16.5" customHeight="1" x14ac:dyDescent="0.25">
      <c r="B158" s="258" t="s">
        <v>234</v>
      </c>
      <c r="C158" s="344" t="s">
        <v>271</v>
      </c>
      <c r="D158" s="317"/>
      <c r="E158" s="317"/>
      <c r="F158" s="317"/>
      <c r="G158" s="305"/>
      <c r="H158" s="251"/>
      <c r="I158" s="367"/>
      <c r="J158" s="214"/>
      <c r="K158" s="214"/>
      <c r="L158" s="214"/>
      <c r="M158" s="214"/>
      <c r="N158" s="214"/>
      <c r="O158" s="214"/>
    </row>
    <row r="159" spans="2:15" ht="16.5" customHeight="1" x14ac:dyDescent="0.25">
      <c r="B159" s="376" t="s">
        <v>44</v>
      </c>
      <c r="C159" s="377"/>
      <c r="D159" s="377"/>
      <c r="E159" s="377"/>
      <c r="F159" s="377"/>
      <c r="G159" s="378"/>
      <c r="H159" s="274">
        <f>SUM(H155:H158)</f>
        <v>1.9</v>
      </c>
      <c r="I159" s="367"/>
      <c r="J159" s="214"/>
      <c r="K159" s="214"/>
      <c r="L159" s="214"/>
      <c r="M159" s="214"/>
      <c r="N159" s="214"/>
      <c r="O159" s="214"/>
    </row>
    <row r="160" spans="2:15" x14ac:dyDescent="0.25">
      <c r="J160" s="214"/>
      <c r="K160" s="214"/>
      <c r="L160" s="214"/>
      <c r="M160" s="214"/>
      <c r="N160" s="214"/>
    </row>
    <row r="161" spans="2:14" x14ac:dyDescent="0.25">
      <c r="B161" s="369" t="s">
        <v>403</v>
      </c>
      <c r="C161" s="255"/>
      <c r="D161" s="255"/>
      <c r="E161" s="255"/>
      <c r="F161" s="255"/>
      <c r="G161" s="255"/>
      <c r="H161" s="255"/>
      <c r="I161" s="370"/>
      <c r="J161" s="214"/>
      <c r="K161" s="214"/>
      <c r="L161" s="214"/>
      <c r="M161" s="214"/>
      <c r="N161" s="214"/>
    </row>
    <row r="162" spans="2:14" x14ac:dyDescent="0.25">
      <c r="B162" s="256"/>
      <c r="C162" s="256"/>
      <c r="D162" s="256"/>
      <c r="E162" s="256"/>
      <c r="F162" s="256"/>
      <c r="G162" s="256"/>
      <c r="J162" s="214"/>
      <c r="K162" s="214"/>
      <c r="L162" s="214"/>
      <c r="M162" s="214"/>
      <c r="N162" s="214"/>
    </row>
    <row r="163" spans="2:14" x14ac:dyDescent="0.25">
      <c r="B163" s="256"/>
      <c r="C163" s="256"/>
      <c r="D163" s="256"/>
      <c r="E163" s="256"/>
      <c r="F163" s="88"/>
      <c r="G163" s="88"/>
      <c r="H163" s="239" t="str">
        <f>H153</f>
        <v>Faturista</v>
      </c>
      <c r="I163" s="332"/>
      <c r="J163" s="214"/>
      <c r="K163" s="214"/>
      <c r="L163" s="214"/>
      <c r="M163" s="214"/>
      <c r="N163" s="214"/>
    </row>
    <row r="164" spans="2:14" ht="16.5" customHeight="1" x14ac:dyDescent="0.25">
      <c r="B164" s="257">
        <v>6</v>
      </c>
      <c r="C164" s="379" t="s">
        <v>218</v>
      </c>
      <c r="D164" s="380"/>
      <c r="E164" s="275"/>
      <c r="F164" s="417" t="s">
        <v>281</v>
      </c>
      <c r="G164" s="250"/>
      <c r="H164" s="250" t="s">
        <v>263</v>
      </c>
      <c r="I164" s="366"/>
      <c r="J164" s="214"/>
      <c r="K164" s="214"/>
      <c r="L164" s="214"/>
      <c r="M164" s="214"/>
      <c r="N164" s="214"/>
    </row>
    <row r="165" spans="2:14" ht="16.5" customHeight="1" x14ac:dyDescent="0.25">
      <c r="B165" s="258" t="s">
        <v>227</v>
      </c>
      <c r="C165" s="382" t="s">
        <v>200</v>
      </c>
      <c r="D165" s="383"/>
      <c r="E165" s="270"/>
      <c r="F165" s="418">
        <v>0.06</v>
      </c>
      <c r="G165" s="277"/>
      <c r="H165" s="251">
        <f>(H159+H149+H106+H93+H42)*$F$165</f>
        <v>177.6138</v>
      </c>
      <c r="I165" s="367"/>
      <c r="J165" s="214"/>
      <c r="K165" s="214"/>
      <c r="L165" s="214"/>
      <c r="M165" s="214"/>
      <c r="N165" s="214"/>
    </row>
    <row r="166" spans="2:14" ht="16.5" customHeight="1" x14ac:dyDescent="0.25">
      <c r="B166" s="258" t="s">
        <v>229</v>
      </c>
      <c r="C166" s="382" t="s">
        <v>202</v>
      </c>
      <c r="D166" s="383"/>
      <c r="E166" s="270"/>
      <c r="F166" s="418">
        <v>6.7900000000000002E-2</v>
      </c>
      <c r="G166" s="277"/>
      <c r="H166" s="251">
        <f>(H159+H149+H106+H93+H42+H165)*$F$166</f>
        <v>213.05959402000002</v>
      </c>
      <c r="I166" s="367"/>
      <c r="J166" s="214"/>
      <c r="K166" s="214"/>
      <c r="L166" s="214"/>
      <c r="M166" s="214"/>
      <c r="N166" s="214"/>
    </row>
    <row r="167" spans="2:14" ht="16.5" customHeight="1" x14ac:dyDescent="0.25">
      <c r="B167" s="258" t="s">
        <v>232</v>
      </c>
      <c r="C167" s="382" t="s">
        <v>201</v>
      </c>
      <c r="D167" s="383"/>
      <c r="E167" s="270"/>
      <c r="F167" s="418"/>
      <c r="G167" s="277"/>
      <c r="H167" s="261"/>
      <c r="I167" s="371"/>
      <c r="J167" s="214"/>
      <c r="K167" s="214"/>
      <c r="L167" s="214"/>
      <c r="M167" s="214"/>
      <c r="N167" s="214"/>
    </row>
    <row r="168" spans="2:14" ht="30.75" customHeight="1" x14ac:dyDescent="0.25">
      <c r="B168" s="258"/>
      <c r="C168" s="382" t="s">
        <v>332</v>
      </c>
      <c r="D168" s="383"/>
      <c r="E168" s="270"/>
      <c r="F168" s="419">
        <f>1-(F169+F170+F171+F172)</f>
        <v>0.91349999999999998</v>
      </c>
      <c r="G168" s="279"/>
      <c r="H168" s="280">
        <f>(H159+H149+H106+H93+H42+H165+H166)/$F$168</f>
        <v>3668.2029491187741</v>
      </c>
      <c r="I168" s="367"/>
      <c r="J168" s="214"/>
      <c r="K168" s="214"/>
      <c r="L168" s="214"/>
      <c r="M168" s="214"/>
      <c r="N168" s="214"/>
    </row>
    <row r="169" spans="2:14" ht="16.5" customHeight="1" x14ac:dyDescent="0.25">
      <c r="B169" s="258"/>
      <c r="C169" s="382" t="s">
        <v>333</v>
      </c>
      <c r="D169" s="383"/>
      <c r="E169" s="270"/>
      <c r="F169" s="418">
        <v>6.4999999999999997E-3</v>
      </c>
      <c r="G169" s="277"/>
      <c r="H169" s="251">
        <f>H168*$F$169</f>
        <v>23.843319169272032</v>
      </c>
      <c r="I169" s="367"/>
      <c r="J169" s="214"/>
      <c r="K169" s="214"/>
      <c r="L169" s="214"/>
      <c r="M169" s="214"/>
      <c r="N169" s="214"/>
    </row>
    <row r="170" spans="2:14" ht="16.5" customHeight="1" x14ac:dyDescent="0.25">
      <c r="B170" s="258"/>
      <c r="C170" s="382" t="s">
        <v>334</v>
      </c>
      <c r="D170" s="383"/>
      <c r="E170" s="270"/>
      <c r="F170" s="418">
        <v>0.03</v>
      </c>
      <c r="G170" s="277"/>
      <c r="H170" s="251">
        <f>H168*$F$170</f>
        <v>110.04608847356322</v>
      </c>
      <c r="I170" s="367"/>
      <c r="J170" s="214"/>
      <c r="K170" s="214"/>
      <c r="L170" s="214"/>
      <c r="M170" s="214"/>
      <c r="N170" s="214"/>
    </row>
    <row r="171" spans="2:14" ht="16.5" customHeight="1" x14ac:dyDescent="0.25">
      <c r="B171" s="258"/>
      <c r="C171" s="382" t="s">
        <v>335</v>
      </c>
      <c r="D171" s="383"/>
      <c r="E171" s="270"/>
      <c r="F171" s="418"/>
      <c r="G171" s="277"/>
      <c r="H171" s="251">
        <f>H168*$F$171</f>
        <v>0</v>
      </c>
      <c r="I171" s="367"/>
      <c r="J171" s="214"/>
      <c r="K171" s="214"/>
      <c r="L171" s="214"/>
      <c r="M171" s="214"/>
      <c r="N171" s="214"/>
    </row>
    <row r="172" spans="2:14" ht="16.5" customHeight="1" x14ac:dyDescent="0.25">
      <c r="B172" s="258"/>
      <c r="C172" s="382" t="s">
        <v>336</v>
      </c>
      <c r="D172" s="383"/>
      <c r="E172" s="270"/>
      <c r="F172" s="418">
        <v>0.05</v>
      </c>
      <c r="G172" s="277"/>
      <c r="H172" s="251">
        <f>H168*$F$172</f>
        <v>183.41014745593873</v>
      </c>
      <c r="I172" s="367"/>
      <c r="J172" s="214"/>
      <c r="K172" s="214"/>
      <c r="L172" s="214"/>
      <c r="M172" s="214"/>
      <c r="N172" s="214"/>
    </row>
    <row r="173" spans="2:14" ht="16.5" customHeight="1" x14ac:dyDescent="0.25">
      <c r="B173" s="376" t="s">
        <v>288</v>
      </c>
      <c r="C173" s="377"/>
      <c r="D173" s="377"/>
      <c r="E173" s="378"/>
      <c r="F173" s="420">
        <f>SUM(F169:F172)</f>
        <v>8.6499999999999994E-2</v>
      </c>
      <c r="G173" s="387"/>
      <c r="H173" s="274">
        <f>ROUND(SUM(H169:H172)+SUM(H165:H166),2)</f>
        <v>707.97</v>
      </c>
      <c r="I173" s="367"/>
      <c r="J173" s="214"/>
      <c r="K173" s="214"/>
      <c r="L173" s="214"/>
      <c r="M173" s="214"/>
      <c r="N173" s="214"/>
    </row>
    <row r="174" spans="2:14" x14ac:dyDescent="0.25">
      <c r="J174" s="214"/>
      <c r="K174" s="214"/>
      <c r="L174" s="214"/>
    </row>
    <row r="175" spans="2:14" ht="24" customHeight="1" x14ac:dyDescent="0.25">
      <c r="B175" s="324" t="s">
        <v>337</v>
      </c>
      <c r="C175" s="324"/>
      <c r="D175" s="324"/>
      <c r="E175" s="324"/>
      <c r="F175" s="324"/>
      <c r="G175" s="324"/>
      <c r="H175" s="324"/>
      <c r="J175" s="214"/>
      <c r="K175" s="214"/>
      <c r="L175" s="214"/>
    </row>
    <row r="176" spans="2:14" x14ac:dyDescent="0.25">
      <c r="J176" s="214"/>
      <c r="K176" s="214"/>
      <c r="L176" s="214"/>
    </row>
    <row r="177" spans="2:15" x14ac:dyDescent="0.25">
      <c r="E177" s="88"/>
      <c r="F177" s="88"/>
      <c r="G177" s="88"/>
      <c r="H177" s="365" t="str">
        <f>H163</f>
        <v>Faturista</v>
      </c>
      <c r="I177" s="332"/>
      <c r="J177" s="214"/>
      <c r="K177" s="214"/>
      <c r="L177" s="214"/>
      <c r="M177" s="214"/>
      <c r="N177" s="214"/>
    </row>
    <row r="178" spans="2:15" ht="32.25" customHeight="1" x14ac:dyDescent="0.25">
      <c r="B178" s="227"/>
      <c r="C178" s="342" t="s">
        <v>338</v>
      </c>
      <c r="D178" s="343"/>
      <c r="E178" s="343"/>
      <c r="F178" s="343"/>
      <c r="G178" s="221"/>
      <c r="H178" s="221" t="s">
        <v>263</v>
      </c>
      <c r="I178" s="88"/>
      <c r="J178" s="214"/>
      <c r="K178" s="214"/>
      <c r="L178" s="214"/>
      <c r="M178" s="214"/>
      <c r="N178" s="214"/>
      <c r="O178" s="214"/>
    </row>
    <row r="179" spans="2:15" ht="16.5" customHeight="1" x14ac:dyDescent="0.25">
      <c r="B179" s="282" t="s">
        <v>227</v>
      </c>
      <c r="C179" s="344" t="s">
        <v>261</v>
      </c>
      <c r="D179" s="317"/>
      <c r="E179" s="317"/>
      <c r="F179" s="317"/>
      <c r="G179" s="305"/>
      <c r="H179" s="224">
        <f>H42</f>
        <v>1479.4</v>
      </c>
      <c r="I179" s="334"/>
      <c r="K179" s="214"/>
      <c r="L179" s="214"/>
      <c r="M179" s="214"/>
      <c r="N179" s="214"/>
      <c r="O179" s="214"/>
    </row>
    <row r="180" spans="2:15" ht="16.5" customHeight="1" x14ac:dyDescent="0.25">
      <c r="B180" s="282" t="s">
        <v>229</v>
      </c>
      <c r="C180" s="344" t="s">
        <v>272</v>
      </c>
      <c r="D180" s="317"/>
      <c r="E180" s="317"/>
      <c r="F180" s="317"/>
      <c r="G180" s="305"/>
      <c r="H180" s="224">
        <f>H93</f>
        <v>1335.09</v>
      </c>
      <c r="I180" s="334"/>
      <c r="K180" s="214"/>
      <c r="L180" s="214"/>
      <c r="M180" s="214"/>
      <c r="N180" s="214"/>
      <c r="O180" s="214"/>
    </row>
    <row r="181" spans="2:15" ht="16.5" customHeight="1" x14ac:dyDescent="0.25">
      <c r="B181" s="282" t="s">
        <v>232</v>
      </c>
      <c r="C181" s="344" t="s">
        <v>303</v>
      </c>
      <c r="D181" s="317"/>
      <c r="E181" s="317"/>
      <c r="F181" s="317"/>
      <c r="G181" s="305"/>
      <c r="H181" s="224">
        <f>H106</f>
        <v>102.67</v>
      </c>
      <c r="I181" s="334"/>
      <c r="K181" s="214"/>
      <c r="L181" s="214"/>
      <c r="M181" s="214"/>
      <c r="N181" s="214"/>
      <c r="O181" s="214"/>
    </row>
    <row r="182" spans="2:15" ht="16.5" customHeight="1" x14ac:dyDescent="0.25">
      <c r="B182" s="282" t="s">
        <v>234</v>
      </c>
      <c r="C182" s="344" t="s">
        <v>311</v>
      </c>
      <c r="D182" s="317"/>
      <c r="E182" s="317"/>
      <c r="F182" s="317"/>
      <c r="G182" s="305"/>
      <c r="H182" s="224">
        <f>H149</f>
        <v>41.17</v>
      </c>
      <c r="I182" s="334"/>
      <c r="K182" s="214"/>
      <c r="L182" s="214"/>
      <c r="M182" s="214"/>
      <c r="N182" s="214"/>
      <c r="O182" s="214"/>
    </row>
    <row r="183" spans="2:15" ht="16.5" customHeight="1" x14ac:dyDescent="0.25">
      <c r="B183" s="282" t="s">
        <v>267</v>
      </c>
      <c r="C183" s="344" t="s">
        <v>329</v>
      </c>
      <c r="D183" s="317"/>
      <c r="E183" s="317"/>
      <c r="F183" s="317"/>
      <c r="G183" s="305"/>
      <c r="H183" s="224">
        <f>H159</f>
        <v>1.9</v>
      </c>
      <c r="I183" s="334"/>
      <c r="K183" s="214"/>
      <c r="L183" s="214"/>
      <c r="M183" s="214"/>
      <c r="N183" s="214"/>
      <c r="O183" s="214"/>
    </row>
    <row r="184" spans="2:15" ht="16.5" customHeight="1" x14ac:dyDescent="0.25">
      <c r="B184" s="362" t="s">
        <v>344</v>
      </c>
      <c r="C184" s="343"/>
      <c r="D184" s="343"/>
      <c r="E184" s="343"/>
      <c r="F184" s="343"/>
      <c r="G184" s="221"/>
      <c r="H184" s="284">
        <f>SUM(H179:H183)</f>
        <v>2960.23</v>
      </c>
      <c r="I184" s="388"/>
      <c r="K184" s="214"/>
      <c r="L184" s="214"/>
      <c r="M184" s="214"/>
      <c r="N184" s="214"/>
      <c r="O184" s="214"/>
    </row>
    <row r="185" spans="2:15" ht="16.5" customHeight="1" x14ac:dyDescent="0.25">
      <c r="B185" s="282" t="s">
        <v>269</v>
      </c>
      <c r="C185" s="344" t="s">
        <v>345</v>
      </c>
      <c r="D185" s="317"/>
      <c r="E185" s="317"/>
      <c r="F185" s="317"/>
      <c r="G185" s="305"/>
      <c r="H185" s="224">
        <f>H173</f>
        <v>707.97</v>
      </c>
      <c r="I185" s="334"/>
      <c r="K185" s="214"/>
      <c r="L185" s="214"/>
      <c r="M185" s="214"/>
      <c r="N185" s="214"/>
      <c r="O185" s="214"/>
    </row>
    <row r="186" spans="2:15" ht="23.25" customHeight="1" x14ac:dyDescent="0.25">
      <c r="B186" s="389" t="s">
        <v>347</v>
      </c>
      <c r="C186" s="390"/>
      <c r="D186" s="390"/>
      <c r="E186" s="390"/>
      <c r="F186" s="390"/>
      <c r="G186" s="391"/>
      <c r="H186" s="392">
        <f>ROUND(H185+H184,2)</f>
        <v>3668.2</v>
      </c>
      <c r="I186" s="393"/>
    </row>
    <row r="188" spans="2:15" ht="20.25" customHeight="1" x14ac:dyDescent="0.25">
      <c r="B188" s="324" t="s">
        <v>348</v>
      </c>
      <c r="C188" s="237"/>
      <c r="D188" s="237"/>
      <c r="E188" s="237"/>
      <c r="F188" s="237"/>
      <c r="G188" s="237"/>
      <c r="H188" s="237"/>
    </row>
    <row r="189" spans="2:15" x14ac:dyDescent="0.25">
      <c r="B189" s="213"/>
    </row>
    <row r="190" spans="2:15" ht="62.1" customHeight="1" x14ac:dyDescent="0.25">
      <c r="B190" s="227"/>
      <c r="C190" s="227" t="s">
        <v>349</v>
      </c>
      <c r="D190" s="221" t="s">
        <v>350</v>
      </c>
      <c r="E190" s="221" t="s">
        <v>351</v>
      </c>
      <c r="F190" s="221" t="s">
        <v>352</v>
      </c>
      <c r="G190" s="221" t="s">
        <v>353</v>
      </c>
      <c r="H190" s="221" t="s">
        <v>354</v>
      </c>
      <c r="J190" s="214"/>
      <c r="K190" s="214"/>
      <c r="L190" s="214"/>
    </row>
    <row r="191" spans="2:15" ht="42.2" customHeight="1" x14ac:dyDescent="0.25">
      <c r="B191" s="286" t="s">
        <v>416</v>
      </c>
      <c r="C191" s="287" t="str">
        <f>B15</f>
        <v>AUDITORIA INTERNA – FATURAMENTO – FATURISTA</v>
      </c>
      <c r="D191" s="288">
        <f>H186</f>
        <v>3668.2</v>
      </c>
      <c r="E191" s="226">
        <f>H15</f>
        <v>1</v>
      </c>
      <c r="F191" s="289">
        <f>D191*E191</f>
        <v>3668.2</v>
      </c>
      <c r="G191" s="226">
        <f>G15</f>
        <v>2</v>
      </c>
      <c r="H191" s="290">
        <f>F191*G191</f>
        <v>7336.4</v>
      </c>
      <c r="J191" s="214"/>
      <c r="K191" s="214"/>
      <c r="L191" s="214"/>
    </row>
  </sheetData>
  <mergeCells count="2">
    <mergeCell ref="B3:H3"/>
    <mergeCell ref="C129:G129"/>
  </mergeCells>
  <printOptions horizontalCentered="1"/>
  <pageMargins left="0.25" right="0.25" top="0.75" bottom="0.75208333333333299" header="0.3" footer="0.3"/>
  <pageSetup paperSize="9" scale="59" firstPageNumber="0" orientation="portrait" horizontalDpi="300" verticalDpi="300" r:id="rId1"/>
  <headerFooter>
    <oddHeader>&amp;C&amp;A</oddHeader>
    <oddFooter>&amp;L&amp;F&amp;R&amp;P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73"/>
  <sheetViews>
    <sheetView showGridLines="0" zoomScale="60" zoomScaleNormal="60" workbookViewId="0">
      <selection activeCell="B43" sqref="B43"/>
    </sheetView>
  </sheetViews>
  <sheetFormatPr defaultColWidth="9.140625" defaultRowHeight="15.75" x14ac:dyDescent="0.25"/>
  <cols>
    <col min="1" max="1" width="16.7109375" style="214" customWidth="1"/>
    <col min="2" max="2" width="40.140625" style="214" customWidth="1"/>
    <col min="3" max="3" width="63.140625" style="214" customWidth="1"/>
    <col min="4" max="4" width="23.42578125" style="214" customWidth="1"/>
    <col min="5" max="5" width="17.42578125" style="214" customWidth="1"/>
    <col min="6" max="6" width="18.5703125" style="214" customWidth="1"/>
    <col min="7" max="7" width="15.140625" style="214" customWidth="1"/>
    <col min="8" max="13" width="9.140625" style="214"/>
    <col min="14" max="1021" width="9.140625" style="213"/>
    <col min="1022" max="1024" width="11.5703125" customWidth="1"/>
  </cols>
  <sheetData>
    <row r="1" spans="1:1024" ht="18" x14ac:dyDescent="0.25">
      <c r="A1" s="215" t="s">
        <v>364</v>
      </c>
    </row>
    <row r="2" spans="1:1024" x14ac:dyDescent="0.25">
      <c r="A2" s="89" t="s">
        <v>365</v>
      </c>
    </row>
    <row r="3" spans="1:1024" ht="37.35" customHeight="1" x14ac:dyDescent="0.25">
      <c r="A3" s="503" t="s">
        <v>366</v>
      </c>
      <c r="B3" s="503"/>
      <c r="C3" s="503"/>
      <c r="D3" s="503"/>
    </row>
    <row r="4" spans="1:1024" x14ac:dyDescent="0.25">
      <c r="A4" s="216" t="s">
        <v>367</v>
      </c>
    </row>
    <row r="5" spans="1:1024" ht="27.75" x14ac:dyDescent="0.4">
      <c r="A5" s="421"/>
      <c r="B5" s="421"/>
      <c r="C5" s="421"/>
      <c r="D5" s="422"/>
      <c r="E5" s="421"/>
      <c r="F5" s="421"/>
    </row>
    <row r="6" spans="1:1024" ht="33" customHeight="1" x14ac:dyDescent="0.35">
      <c r="A6" s="504" t="s">
        <v>0</v>
      </c>
      <c r="B6" s="504"/>
      <c r="C6" s="504"/>
      <c r="D6" s="504"/>
      <c r="E6" s="311"/>
      <c r="F6" s="311"/>
      <c r="K6" s="213"/>
      <c r="L6" s="213"/>
      <c r="M6" s="213"/>
    </row>
    <row r="7" spans="1:1024" x14ac:dyDescent="0.25">
      <c r="A7" s="505"/>
      <c r="B7" s="505"/>
      <c r="C7" s="505"/>
      <c r="D7" s="505"/>
    </row>
    <row r="8" spans="1:1024" hidden="1" x14ac:dyDescent="0.25"/>
    <row r="9" spans="1:1024" hidden="1" x14ac:dyDescent="0.25">
      <c r="A9" s="487" t="s">
        <v>417</v>
      </c>
      <c r="B9" s="487"/>
      <c r="C9" s="487"/>
      <c r="D9" s="487"/>
    </row>
    <row r="10" spans="1:1024" hidden="1" x14ac:dyDescent="0.25"/>
    <row r="11" spans="1:1024" hidden="1" x14ac:dyDescent="0.25">
      <c r="A11" s="227"/>
      <c r="B11" s="301" t="s">
        <v>418</v>
      </c>
      <c r="C11" s="301"/>
      <c r="D11" s="221" t="s">
        <v>281</v>
      </c>
    </row>
    <row r="12" spans="1:1024" hidden="1" x14ac:dyDescent="0.25">
      <c r="A12" s="222" t="s">
        <v>227</v>
      </c>
      <c r="B12" s="223" t="s">
        <v>419</v>
      </c>
      <c r="C12" s="223"/>
      <c r="D12" s="423"/>
    </row>
    <row r="13" spans="1:1024" s="214" customFormat="1" ht="31.5" hidden="1" x14ac:dyDescent="0.25">
      <c r="A13" s="222"/>
      <c r="B13" s="424" t="s">
        <v>420</v>
      </c>
      <c r="C13" s="424"/>
      <c r="D13" s="423"/>
      <c r="N13" s="213"/>
      <c r="O13" s="213"/>
      <c r="P13" s="213"/>
      <c r="AMH13"/>
      <c r="AMI13"/>
      <c r="AMJ13"/>
    </row>
    <row r="14" spans="1:1024" s="214" customFormat="1" hidden="1" x14ac:dyDescent="0.25">
      <c r="A14" s="222"/>
      <c r="B14" s="223" t="s">
        <v>421</v>
      </c>
      <c r="C14" s="223"/>
      <c r="D14" s="425">
        <f>1-(D15+D16+D17)</f>
        <v>0.85749999999999993</v>
      </c>
      <c r="N14" s="213"/>
      <c r="O14" s="213"/>
      <c r="P14" s="213"/>
      <c r="AMH14"/>
      <c r="AMI14"/>
      <c r="AMJ14"/>
    </row>
    <row r="15" spans="1:1024" s="214" customFormat="1" hidden="1" x14ac:dyDescent="0.25">
      <c r="A15" s="222" t="s">
        <v>229</v>
      </c>
      <c r="B15" s="223" t="s">
        <v>422</v>
      </c>
      <c r="C15" s="223"/>
      <c r="D15" s="423">
        <v>1.6500000000000001E-2</v>
      </c>
      <c r="N15" s="213"/>
      <c r="O15" s="213"/>
      <c r="P15" s="213"/>
      <c r="AMH15"/>
      <c r="AMI15"/>
      <c r="AMJ15"/>
    </row>
    <row r="16" spans="1:1024" s="214" customFormat="1" hidden="1" x14ac:dyDescent="0.25">
      <c r="A16" s="222" t="s">
        <v>232</v>
      </c>
      <c r="B16" s="223" t="s">
        <v>423</v>
      </c>
      <c r="C16" s="223"/>
      <c r="D16" s="423">
        <v>7.5999999999999998E-2</v>
      </c>
      <c r="N16" s="213"/>
      <c r="O16" s="213"/>
      <c r="P16" s="213"/>
      <c r="AMH16"/>
      <c r="AMI16"/>
      <c r="AMJ16"/>
    </row>
    <row r="17" spans="1:1024" s="214" customFormat="1" hidden="1" x14ac:dyDescent="0.25">
      <c r="A17" s="222" t="s">
        <v>234</v>
      </c>
      <c r="B17" s="223" t="s">
        <v>424</v>
      </c>
      <c r="C17" s="223"/>
      <c r="D17" s="423">
        <v>0.05</v>
      </c>
      <c r="N17" s="213"/>
      <c r="O17" s="213"/>
      <c r="P17" s="213"/>
      <c r="AMH17"/>
      <c r="AMI17"/>
      <c r="AMJ17"/>
    </row>
    <row r="18" spans="1:1024" s="214" customFormat="1" hidden="1" x14ac:dyDescent="0.25">
      <c r="A18" s="426"/>
      <c r="B18" s="427" t="s">
        <v>425</v>
      </c>
      <c r="C18" s="427"/>
      <c r="D18" s="428">
        <f>SUM(D15:D17)</f>
        <v>0.14250000000000002</v>
      </c>
      <c r="N18" s="213"/>
      <c r="O18" s="213"/>
      <c r="P18" s="213"/>
      <c r="AMH18"/>
      <c r="AMI18"/>
      <c r="AMJ18"/>
    </row>
    <row r="19" spans="1:1024" s="214" customFormat="1" ht="31.5" hidden="1" x14ac:dyDescent="0.25">
      <c r="A19" s="282"/>
      <c r="B19" s="424" t="s">
        <v>426</v>
      </c>
      <c r="C19" s="424"/>
      <c r="D19" s="429"/>
      <c r="N19" s="213"/>
      <c r="O19" s="213"/>
      <c r="P19" s="213"/>
      <c r="AMH19"/>
      <c r="AMI19"/>
      <c r="AMJ19"/>
    </row>
    <row r="20" spans="1:1024" s="214" customFormat="1" ht="47.25" hidden="1" x14ac:dyDescent="0.25">
      <c r="A20" s="282"/>
      <c r="B20" s="424" t="s">
        <v>427</v>
      </c>
      <c r="C20" s="424"/>
      <c r="D20" s="429"/>
      <c r="N20" s="213"/>
      <c r="O20" s="213"/>
      <c r="P20" s="213"/>
      <c r="AMH20"/>
      <c r="AMI20"/>
      <c r="AMJ20"/>
    </row>
    <row r="21" spans="1:1024" s="214" customFormat="1" ht="31.5" hidden="1" x14ac:dyDescent="0.25">
      <c r="A21" s="282"/>
      <c r="B21" s="424" t="s">
        <v>428</v>
      </c>
      <c r="C21" s="424"/>
      <c r="D21" s="429"/>
      <c r="N21" s="213"/>
      <c r="O21" s="213"/>
      <c r="P21" s="213"/>
      <c r="AMH21"/>
      <c r="AMI21"/>
      <c r="AMJ21"/>
    </row>
    <row r="22" spans="1:1024" s="214" customFormat="1" hidden="1" x14ac:dyDescent="0.25">
      <c r="N22" s="213"/>
      <c r="O22" s="213"/>
      <c r="P22" s="213"/>
      <c r="AMH22"/>
      <c r="AMI22"/>
      <c r="AMJ22"/>
    </row>
    <row r="24" spans="1:1024" s="214" customFormat="1" ht="22.5" customHeight="1" x14ac:dyDescent="0.25">
      <c r="A24" s="484" t="s">
        <v>355</v>
      </c>
      <c r="B24" s="484"/>
      <c r="C24" s="484"/>
      <c r="D24" s="484"/>
      <c r="N24" s="213"/>
      <c r="O24" s="213"/>
      <c r="P24" s="213"/>
      <c r="AMH24"/>
      <c r="AMI24"/>
      <c r="AMJ24"/>
    </row>
    <row r="25" spans="1:1024" s="214" customFormat="1" x14ac:dyDescent="0.25">
      <c r="N25" s="213"/>
      <c r="O25" s="213"/>
      <c r="P25" s="213"/>
      <c r="AMH25"/>
      <c r="AMI25"/>
      <c r="AMJ25"/>
    </row>
    <row r="26" spans="1:1024" s="214" customFormat="1" ht="24.75" customHeight="1" x14ac:dyDescent="0.25">
      <c r="A26" s="483" t="s">
        <v>356</v>
      </c>
      <c r="B26" s="483"/>
      <c r="C26" s="483"/>
      <c r="D26" s="483"/>
      <c r="N26" s="213"/>
      <c r="O26" s="213"/>
      <c r="P26" s="213"/>
      <c r="AMH26"/>
      <c r="AMI26"/>
      <c r="AMJ26"/>
    </row>
    <row r="27" spans="1:1024" s="214" customFormat="1" ht="32.25" customHeight="1" x14ac:dyDescent="0.25">
      <c r="A27" s="282" t="str">
        <f>'Planilha - LP - MÉDICOS'!B191</f>
        <v>A1</v>
      </c>
      <c r="B27" s="304" t="s">
        <v>429</v>
      </c>
      <c r="C27" s="430" t="str">
        <f>'Planilha modelo'!B15</f>
        <v>AUDITORIA INTERNA E EXTERNA – PERÍCIA MÉDICA -
MÉDICO</v>
      </c>
      <c r="D27" s="431">
        <f>'Planilha - LP - MÉDICOS'!H191</f>
        <v>31356.32</v>
      </c>
      <c r="E27" s="303"/>
      <c r="N27" s="213"/>
      <c r="O27" s="213"/>
      <c r="P27" s="213"/>
      <c r="AMH27"/>
      <c r="AMI27"/>
      <c r="AMJ27"/>
    </row>
    <row r="28" spans="1:1024" s="214" customFormat="1" ht="30.75" customHeight="1" x14ac:dyDescent="0.25">
      <c r="A28" s="282" t="str">
        <f>'Planilha - LP - ENFERMEIRAS'!B192</f>
        <v>A2</v>
      </c>
      <c r="B28" s="304" t="s">
        <v>429</v>
      </c>
      <c r="C28" s="305" t="str">
        <f>'Planilha - LP - ENFERMEIRAS'!B15</f>
        <v>AUDITORIA INTERNA – ENFERMEIRO</v>
      </c>
      <c r="D28" s="431">
        <f>'Planilha - LP - ENFERMEIRAS'!H192</f>
        <v>15596.06</v>
      </c>
      <c r="E28" s="303"/>
      <c r="N28" s="213"/>
      <c r="O28" s="213"/>
      <c r="P28" s="213"/>
      <c r="AMH28"/>
      <c r="AMI28"/>
      <c r="AMJ28"/>
    </row>
    <row r="29" spans="1:1024" s="214" customFormat="1" ht="30.75" customHeight="1" x14ac:dyDescent="0.25">
      <c r="A29" s="282" t="str">
        <f>'Planilha - LP - ENFERMEIRAS'!B193</f>
        <v>A3</v>
      </c>
      <c r="B29" s="304" t="s">
        <v>429</v>
      </c>
      <c r="C29" s="305" t="str">
        <f>'Planilha - LP - ENFERMEIRAS'!B16</f>
        <v>AUDITORIA EXTERNA – ENFERMEIRO</v>
      </c>
      <c r="D29" s="431">
        <f>'Planilha - LP - ENFERMEIRAS'!H193</f>
        <v>16487.3</v>
      </c>
      <c r="E29" s="303"/>
      <c r="N29" s="213"/>
      <c r="O29" s="213"/>
      <c r="P29" s="213"/>
      <c r="AMH29"/>
      <c r="AMI29"/>
      <c r="AMJ29"/>
    </row>
    <row r="30" spans="1:1024" s="214" customFormat="1" ht="30.75" hidden="1" customHeight="1" x14ac:dyDescent="0.25">
      <c r="A30" s="282" t="s">
        <v>416</v>
      </c>
      <c r="B30" s="304" t="s">
        <v>429</v>
      </c>
      <c r="C30" s="305" t="e">
        <f>#REF!</f>
        <v>#REF!</v>
      </c>
      <c r="D30" s="431"/>
      <c r="E30" s="303"/>
      <c r="N30" s="213"/>
      <c r="O30" s="213"/>
      <c r="P30" s="213"/>
      <c r="AMH30"/>
      <c r="AMI30"/>
      <c r="AMJ30"/>
    </row>
    <row r="31" spans="1:1024" s="214" customFormat="1" ht="30.75" customHeight="1" x14ac:dyDescent="0.25">
      <c r="A31" s="282" t="s">
        <v>416</v>
      </c>
      <c r="B31" s="304" t="s">
        <v>429</v>
      </c>
      <c r="C31" s="305" t="str">
        <f>'Planilha - LP - FATURISTA'!B15</f>
        <v>AUDITORIA INTERNA – FATURAMENTO – FATURISTA</v>
      </c>
      <c r="D31" s="431">
        <f>'Planilha - LP - FATURISTA'!H191</f>
        <v>7336.4</v>
      </c>
      <c r="E31" s="303"/>
      <c r="N31" s="213"/>
      <c r="O31" s="213"/>
      <c r="P31" s="213"/>
      <c r="AMH31"/>
      <c r="AMI31"/>
      <c r="AMJ31"/>
    </row>
    <row r="32" spans="1:1024" s="214" customFormat="1" ht="28.5" customHeight="1" x14ac:dyDescent="0.25">
      <c r="A32" s="282" t="s">
        <v>229</v>
      </c>
      <c r="B32" s="304" t="s">
        <v>357</v>
      </c>
      <c r="C32" s="305" t="s">
        <v>430</v>
      </c>
      <c r="D32" s="432">
        <f>SUM(D27:D31)</f>
        <v>70776.079999999987</v>
      </c>
      <c r="N32" s="213"/>
      <c r="O32" s="213"/>
      <c r="P32" s="213"/>
      <c r="AMH32"/>
      <c r="AMI32"/>
      <c r="AMJ32"/>
    </row>
    <row r="33" spans="1:1024" s="214" customFormat="1" ht="45.75" customHeight="1" x14ac:dyDescent="0.25">
      <c r="A33" s="282" t="s">
        <v>232</v>
      </c>
      <c r="B33" s="486" t="s">
        <v>431</v>
      </c>
      <c r="C33" s="486"/>
      <c r="D33" s="433">
        <f>D32*12</f>
        <v>849312.95999999985</v>
      </c>
      <c r="N33" s="213"/>
      <c r="O33" s="213"/>
      <c r="P33" s="213"/>
      <c r="AMH33"/>
      <c r="AMI33"/>
      <c r="AMJ33"/>
    </row>
    <row r="35" spans="1:1024" ht="18" x14ac:dyDescent="0.25">
      <c r="C35" s="434"/>
      <c r="D35" s="435"/>
    </row>
    <row r="36" spans="1:1024" ht="18" x14ac:dyDescent="0.25">
      <c r="C36" s="215"/>
      <c r="D36" s="215"/>
    </row>
    <row r="37" spans="1:1024" x14ac:dyDescent="0.25">
      <c r="D37" s="436"/>
      <c r="E37" s="436"/>
    </row>
    <row r="38" spans="1:1024" x14ac:dyDescent="0.25">
      <c r="D38" s="436"/>
      <c r="E38" s="436"/>
    </row>
    <row r="39" spans="1:1024" x14ac:dyDescent="0.25">
      <c r="D39" s="436"/>
      <c r="E39" s="436"/>
    </row>
    <row r="40" spans="1:1024" x14ac:dyDescent="0.25">
      <c r="D40" s="436"/>
      <c r="E40" s="436"/>
    </row>
    <row r="41" spans="1:1024" x14ac:dyDescent="0.25">
      <c r="D41" s="436"/>
      <c r="E41" s="436"/>
    </row>
    <row r="59" spans="6:6" x14ac:dyDescent="0.25">
      <c r="F59" s="437"/>
    </row>
    <row r="60" spans="6:6" x14ac:dyDescent="0.25">
      <c r="F60" s="437"/>
    </row>
    <row r="61" spans="6:6" ht="31.5" customHeight="1" x14ac:dyDescent="0.25">
      <c r="F61" s="437"/>
    </row>
    <row r="62" spans="6:6" x14ac:dyDescent="0.25">
      <c r="F62" s="437"/>
    </row>
    <row r="63" spans="6:6" x14ac:dyDescent="0.25">
      <c r="F63" s="437"/>
    </row>
    <row r="64" spans="6:6" x14ac:dyDescent="0.25">
      <c r="F64" s="437"/>
    </row>
    <row r="65" spans="6:6" x14ac:dyDescent="0.25">
      <c r="F65" s="437"/>
    </row>
    <row r="66" spans="6:6" x14ac:dyDescent="0.25">
      <c r="F66" s="437"/>
    </row>
    <row r="67" spans="6:6" x14ac:dyDescent="0.25">
      <c r="F67" s="437"/>
    </row>
    <row r="68" spans="6:6" x14ac:dyDescent="0.25">
      <c r="F68" s="437"/>
    </row>
    <row r="107" spans="2:2" x14ac:dyDescent="0.25">
      <c r="B107" s="214" t="s">
        <v>382</v>
      </c>
    </row>
    <row r="108" spans="2:2" ht="28.5" customHeight="1" x14ac:dyDescent="0.25"/>
    <row r="110" spans="2:2" x14ac:dyDescent="0.25">
      <c r="B110" s="214" t="s">
        <v>383</v>
      </c>
    </row>
    <row r="164" spans="6:6" x14ac:dyDescent="0.25">
      <c r="F164" s="436"/>
    </row>
    <row r="165" spans="6:6" x14ac:dyDescent="0.25">
      <c r="F165" s="436"/>
    </row>
    <row r="166" spans="6:6" x14ac:dyDescent="0.25">
      <c r="F166" s="436"/>
    </row>
    <row r="167" spans="6:6" x14ac:dyDescent="0.25">
      <c r="F167" s="436"/>
    </row>
    <row r="168" spans="6:6" x14ac:dyDescent="0.25">
      <c r="F168" s="436"/>
    </row>
    <row r="169" spans="6:6" x14ac:dyDescent="0.25">
      <c r="F169" s="436"/>
    </row>
    <row r="170" spans="6:6" x14ac:dyDescent="0.25">
      <c r="F170" s="436"/>
    </row>
    <row r="171" spans="6:6" x14ac:dyDescent="0.25">
      <c r="F171" s="436"/>
    </row>
    <row r="172" spans="6:6" x14ac:dyDescent="0.25">
      <c r="F172" s="436"/>
    </row>
    <row r="173" spans="6:6" x14ac:dyDescent="0.25">
      <c r="F173" s="436"/>
    </row>
  </sheetData>
  <mergeCells count="7">
    <mergeCell ref="A26:D26"/>
    <mergeCell ref="B33:C33"/>
    <mergeCell ref="A3:D3"/>
    <mergeCell ref="A6:D6"/>
    <mergeCell ref="A7:D7"/>
    <mergeCell ref="A9:D9"/>
    <mergeCell ref="A24:D24"/>
  </mergeCells>
  <printOptions horizontalCentered="1"/>
  <pageMargins left="0.25" right="0.25" top="0.75" bottom="0.75208333333333299" header="0.3" footer="0.3"/>
  <pageSetup paperSize="9" scale="61" firstPageNumber="0" orientation="portrait" horizontalDpi="300" verticalDpi="300"/>
  <headerFooter>
    <oddHeader>&amp;C&amp;A</oddHeader>
    <oddFooter>&amp;L&amp;F&amp;R&amp;P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208"/>
  <sheetViews>
    <sheetView showGridLines="0" topLeftCell="B1" zoomScale="60" zoomScaleNormal="60" workbookViewId="0">
      <selection activeCell="C223" sqref="C223"/>
    </sheetView>
  </sheetViews>
  <sheetFormatPr defaultColWidth="9.140625" defaultRowHeight="15.75" x14ac:dyDescent="0.25"/>
  <cols>
    <col min="1" max="1" width="1.7109375" style="213" customWidth="1"/>
    <col min="2" max="2" width="16.7109375" style="214" customWidth="1"/>
    <col min="3" max="3" width="52.5703125" style="214" customWidth="1"/>
    <col min="4" max="4" width="21.7109375" style="214" customWidth="1"/>
    <col min="5" max="9" width="19.7109375" style="214" customWidth="1"/>
    <col min="10" max="10" width="19.7109375" style="214" hidden="1" customWidth="1"/>
    <col min="11" max="11" width="9.140625" style="214"/>
    <col min="12" max="12" width="17.85546875" style="214" customWidth="1"/>
    <col min="13" max="13" width="12.5703125" style="214" customWidth="1"/>
    <col min="14" max="14" width="12.28515625" style="214" customWidth="1"/>
    <col min="15" max="15" width="10" style="214" customWidth="1"/>
    <col min="16" max="1024" width="9.140625" style="213"/>
  </cols>
  <sheetData>
    <row r="1" spans="2:16" ht="18.75" customHeight="1" x14ac:dyDescent="0.25">
      <c r="B1" s="215" t="s">
        <v>364</v>
      </c>
    </row>
    <row r="2" spans="2:16" ht="24" customHeight="1" x14ac:dyDescent="0.25">
      <c r="B2" s="89" t="s">
        <v>365</v>
      </c>
      <c r="L2" s="242"/>
    </row>
    <row r="3" spans="2:16" ht="30.75" customHeight="1" x14ac:dyDescent="0.25">
      <c r="B3" s="503" t="s">
        <v>366</v>
      </c>
      <c r="C3" s="503"/>
      <c r="D3" s="503"/>
      <c r="E3" s="503"/>
      <c r="F3" s="503"/>
      <c r="G3" s="503"/>
      <c r="H3" s="503"/>
      <c r="I3" s="503"/>
      <c r="L3" s="242"/>
    </row>
    <row r="4" spans="2:16" ht="17.25" customHeight="1" x14ac:dyDescent="0.25">
      <c r="B4" s="216" t="s">
        <v>367</v>
      </c>
      <c r="H4" s="438" t="s">
        <v>432</v>
      </c>
      <c r="I4" s="439">
        <f ca="1">+TODAY()</f>
        <v>44069</v>
      </c>
      <c r="L4" s="242"/>
    </row>
    <row r="5" spans="2:16" ht="33" customHeight="1" x14ac:dyDescent="0.35">
      <c r="B5" s="482" t="s">
        <v>0</v>
      </c>
      <c r="C5" s="482"/>
      <c r="D5" s="482"/>
      <c r="E5" s="482"/>
      <c r="F5" s="482"/>
      <c r="G5" s="482"/>
      <c r="H5" s="482"/>
      <c r="I5" s="482"/>
      <c r="J5" s="482"/>
      <c r="L5" s="242"/>
    </row>
    <row r="6" spans="2:16" x14ac:dyDescent="0.25">
      <c r="L6" s="242"/>
    </row>
    <row r="7" spans="2:16" x14ac:dyDescent="0.25">
      <c r="B7" s="9" t="s">
        <v>226</v>
      </c>
      <c r="C7" s="9"/>
      <c r="D7" s="9"/>
      <c r="L7" s="242"/>
    </row>
    <row r="8" spans="2:16" ht="27" customHeight="1" x14ac:dyDescent="0.25">
      <c r="B8" s="219" t="s">
        <v>227</v>
      </c>
      <c r="C8" s="220" t="s">
        <v>228</v>
      </c>
      <c r="D8" s="221"/>
      <c r="L8" s="242"/>
    </row>
    <row r="9" spans="2:16" ht="27" customHeight="1" x14ac:dyDescent="0.25">
      <c r="B9" s="222" t="s">
        <v>229</v>
      </c>
      <c r="C9" s="223" t="s">
        <v>230</v>
      </c>
      <c r="D9" s="224" t="s">
        <v>231</v>
      </c>
      <c r="L9" s="242"/>
    </row>
    <row r="10" spans="2:16" ht="27" customHeight="1" x14ac:dyDescent="0.25">
      <c r="B10" s="222" t="s">
        <v>232</v>
      </c>
      <c r="C10" s="223" t="s">
        <v>233</v>
      </c>
      <c r="D10" s="225">
        <v>2019</v>
      </c>
      <c r="L10" s="242"/>
    </row>
    <row r="11" spans="2:16" ht="27" customHeight="1" x14ac:dyDescent="0.25">
      <c r="B11" s="222" t="s">
        <v>234</v>
      </c>
      <c r="C11" s="223" t="s">
        <v>235</v>
      </c>
      <c r="D11" s="226">
        <v>12</v>
      </c>
      <c r="L11" s="242"/>
    </row>
    <row r="12" spans="2:16" ht="22.5" customHeight="1" x14ac:dyDescent="0.25">
      <c r="L12" s="242"/>
    </row>
    <row r="13" spans="2:16" x14ac:dyDescent="0.25">
      <c r="B13" s="9" t="s">
        <v>236</v>
      </c>
      <c r="C13" s="9"/>
      <c r="D13" s="9"/>
      <c r="L13" s="242"/>
    </row>
    <row r="14" spans="2:16" ht="32.25" customHeight="1" x14ac:dyDescent="0.25">
      <c r="B14" s="483" t="s">
        <v>237</v>
      </c>
      <c r="C14" s="483"/>
      <c r="D14" s="221" t="s">
        <v>238</v>
      </c>
      <c r="E14" s="221" t="s">
        <v>239</v>
      </c>
      <c r="F14" s="228"/>
      <c r="L14" s="242"/>
      <c r="P14" s="214"/>
    </row>
    <row r="15" spans="2:16" ht="21.75" customHeight="1" x14ac:dyDescent="0.25">
      <c r="B15" s="394" t="s">
        <v>433</v>
      </c>
      <c r="C15" s="230"/>
      <c r="D15" s="231" t="s">
        <v>241</v>
      </c>
      <c r="E15" s="226">
        <v>2</v>
      </c>
      <c r="L15" s="242"/>
      <c r="P15" s="214"/>
    </row>
    <row r="16" spans="2:16" ht="21.75" customHeight="1" x14ac:dyDescent="0.25">
      <c r="B16" s="344"/>
      <c r="C16" s="230"/>
      <c r="D16" s="231" t="s">
        <v>241</v>
      </c>
      <c r="E16" s="226">
        <v>2</v>
      </c>
      <c r="L16" s="242"/>
      <c r="P16" s="214"/>
    </row>
    <row r="17" spans="2:20" ht="21.75" customHeight="1" x14ac:dyDescent="0.25">
      <c r="B17" s="344"/>
      <c r="C17" s="233"/>
      <c r="D17" s="231" t="s">
        <v>241</v>
      </c>
      <c r="E17" s="226">
        <v>2</v>
      </c>
      <c r="L17" s="242"/>
      <c r="P17" s="214"/>
    </row>
    <row r="18" spans="2:20" ht="21.75" customHeight="1" x14ac:dyDescent="0.25">
      <c r="B18" s="344"/>
      <c r="C18" s="233"/>
      <c r="D18" s="231" t="s">
        <v>241</v>
      </c>
      <c r="E18" s="226">
        <v>2</v>
      </c>
      <c r="L18" s="242"/>
      <c r="P18" s="214"/>
    </row>
    <row r="19" spans="2:20" ht="21.75" customHeight="1" x14ac:dyDescent="0.25">
      <c r="B19" s="344"/>
      <c r="C19" s="233"/>
      <c r="D19" s="231" t="s">
        <v>241</v>
      </c>
      <c r="E19" s="226"/>
      <c r="L19" s="242"/>
      <c r="P19" s="214"/>
    </row>
    <row r="20" spans="2:20" ht="21.75" hidden="1" customHeight="1" x14ac:dyDescent="0.25">
      <c r="B20" s="232" t="s">
        <v>246</v>
      </c>
      <c r="C20" s="233"/>
      <c r="D20" s="231" t="s">
        <v>241</v>
      </c>
      <c r="E20" s="226"/>
      <c r="L20" s="242"/>
      <c r="P20" s="214"/>
    </row>
    <row r="21" spans="2:20" x14ac:dyDescent="0.25">
      <c r="B21" s="234"/>
      <c r="C21" s="234"/>
      <c r="D21" s="235"/>
      <c r="E21" s="236"/>
      <c r="L21" s="242"/>
      <c r="P21" s="214"/>
    </row>
    <row r="22" spans="2:20" x14ac:dyDescent="0.25">
      <c r="B22" s="484" t="s">
        <v>247</v>
      </c>
      <c r="C22" s="484"/>
      <c r="D22" s="484"/>
      <c r="E22" s="484"/>
      <c r="F22" s="484"/>
      <c r="G22" s="484"/>
      <c r="H22" s="484"/>
      <c r="I22" s="484"/>
      <c r="J22" s="484"/>
      <c r="L22" s="242"/>
    </row>
    <row r="23" spans="2:20" ht="11.25" customHeight="1" x14ac:dyDescent="0.25">
      <c r="L23" s="242"/>
    </row>
    <row r="24" spans="2:20" x14ac:dyDescent="0.25">
      <c r="B24" s="214" t="s">
        <v>248</v>
      </c>
      <c r="L24" s="242"/>
    </row>
    <row r="25" spans="2:20" x14ac:dyDescent="0.25">
      <c r="B25" s="214" t="s">
        <v>249</v>
      </c>
      <c r="L25" s="242"/>
    </row>
    <row r="26" spans="2:20" ht="27" customHeight="1" x14ac:dyDescent="0.25">
      <c r="B26" s="485" t="s">
        <v>250</v>
      </c>
      <c r="C26" s="485"/>
      <c r="D26" s="485"/>
      <c r="E26" s="485"/>
      <c r="F26" s="485"/>
      <c r="G26" s="485"/>
      <c r="H26" s="485"/>
      <c r="I26" s="485"/>
      <c r="J26" s="485"/>
      <c r="L26" s="242"/>
      <c r="P26" s="214"/>
      <c r="Q26" s="214"/>
    </row>
    <row r="27" spans="2:20" ht="31.5" customHeight="1" x14ac:dyDescent="0.25">
      <c r="B27" s="219">
        <v>1</v>
      </c>
      <c r="C27" s="486" t="s">
        <v>251</v>
      </c>
      <c r="D27" s="486"/>
      <c r="E27" s="239"/>
      <c r="F27" s="239" t="s">
        <v>374</v>
      </c>
      <c r="G27" s="239">
        <v>0.06</v>
      </c>
      <c r="H27" s="239" t="s">
        <v>434</v>
      </c>
      <c r="I27" s="239">
        <v>0.02</v>
      </c>
      <c r="J27" s="239" t="s">
        <v>246</v>
      </c>
      <c r="L27" s="242"/>
      <c r="P27" s="214"/>
      <c r="Q27" s="214"/>
    </row>
    <row r="28" spans="2:20" ht="23.25" customHeight="1" x14ac:dyDescent="0.25">
      <c r="B28" s="222">
        <v>2</v>
      </c>
      <c r="C28" s="486" t="s">
        <v>252</v>
      </c>
      <c r="D28" s="486"/>
      <c r="E28" s="224"/>
      <c r="F28" s="224"/>
      <c r="G28" s="224"/>
      <c r="H28" s="224"/>
      <c r="I28" s="224"/>
      <c r="J28" s="224"/>
      <c r="L28" s="242"/>
      <c r="P28" s="214"/>
      <c r="Q28" s="214">
        <v>1</v>
      </c>
      <c r="R28" s="213">
        <v>19</v>
      </c>
      <c r="S28" s="213">
        <v>20</v>
      </c>
    </row>
    <row r="29" spans="2:20" ht="26.25" customHeight="1" x14ac:dyDescent="0.25">
      <c r="B29" s="222">
        <v>3</v>
      </c>
      <c r="C29" s="486" t="s">
        <v>254</v>
      </c>
      <c r="D29" s="486"/>
      <c r="E29" s="240"/>
      <c r="F29" s="240">
        <v>4200</v>
      </c>
      <c r="G29" s="240" t="s">
        <v>435</v>
      </c>
      <c r="H29" s="240" t="s">
        <v>435</v>
      </c>
      <c r="I29" s="240" t="s">
        <v>435</v>
      </c>
      <c r="J29" s="240" t="s">
        <v>255</v>
      </c>
      <c r="L29" s="242"/>
      <c r="P29" s="214"/>
      <c r="Q29" s="214">
        <v>2</v>
      </c>
      <c r="R29" s="213">
        <v>20</v>
      </c>
      <c r="S29" s="213">
        <v>21</v>
      </c>
    </row>
    <row r="30" spans="2:20" ht="24.75" customHeight="1" x14ac:dyDescent="0.25">
      <c r="B30" s="222">
        <v>4</v>
      </c>
      <c r="C30" s="486" t="s">
        <v>256</v>
      </c>
      <c r="D30" s="486"/>
      <c r="E30" s="224"/>
      <c r="F30" s="224"/>
      <c r="G30" s="224"/>
      <c r="H30" s="224"/>
      <c r="I30" s="224"/>
      <c r="J30" s="224"/>
      <c r="L30" s="242"/>
      <c r="P30" s="214"/>
      <c r="Q30" s="214">
        <v>3</v>
      </c>
      <c r="R30" s="213">
        <v>21</v>
      </c>
      <c r="S30" s="213">
        <v>22</v>
      </c>
    </row>
    <row r="31" spans="2:20" ht="26.25" customHeight="1" x14ac:dyDescent="0.25">
      <c r="B31" s="222">
        <v>5</v>
      </c>
      <c r="C31" s="486" t="s">
        <v>258</v>
      </c>
      <c r="D31" s="486"/>
      <c r="E31" s="224"/>
      <c r="F31" s="224" t="s">
        <v>378</v>
      </c>
      <c r="G31" s="224" t="s">
        <v>259</v>
      </c>
      <c r="H31" s="224" t="s">
        <v>259</v>
      </c>
      <c r="I31" s="224" t="s">
        <v>259</v>
      </c>
      <c r="J31" s="224"/>
      <c r="L31" s="242"/>
      <c r="P31" s="214"/>
      <c r="Q31" s="214">
        <v>4</v>
      </c>
      <c r="R31" s="213">
        <v>22</v>
      </c>
      <c r="S31" s="213">
        <v>23</v>
      </c>
      <c r="T31" s="213" t="s">
        <v>260</v>
      </c>
    </row>
    <row r="32" spans="2:20" hidden="1" x14ac:dyDescent="0.25">
      <c r="B32" s="222"/>
      <c r="C32" s="486"/>
      <c r="D32" s="486"/>
      <c r="E32" s="240"/>
      <c r="F32" s="224"/>
      <c r="G32" s="224"/>
      <c r="H32" s="240"/>
      <c r="I32" s="224"/>
      <c r="J32" s="224"/>
      <c r="L32" s="242"/>
      <c r="P32" s="214"/>
      <c r="Q32" s="214">
        <v>5</v>
      </c>
      <c r="R32" s="213">
        <v>23</v>
      </c>
      <c r="S32" s="213">
        <v>0</v>
      </c>
      <c r="T32" s="213" t="s">
        <v>260</v>
      </c>
    </row>
    <row r="33" spans="2:20" hidden="1" x14ac:dyDescent="0.25">
      <c r="B33" s="222"/>
      <c r="C33" s="486"/>
      <c r="D33" s="486"/>
      <c r="E33" s="224"/>
      <c r="F33" s="224"/>
      <c r="G33" s="224"/>
      <c r="H33" s="224"/>
      <c r="I33" s="224"/>
      <c r="J33" s="224"/>
      <c r="L33" s="242"/>
      <c r="P33" s="214"/>
      <c r="Q33" s="214">
        <v>6</v>
      </c>
      <c r="R33" s="213">
        <v>0</v>
      </c>
      <c r="S33" s="213">
        <v>1</v>
      </c>
      <c r="T33" s="213" t="s">
        <v>260</v>
      </c>
    </row>
    <row r="34" spans="2:20" x14ac:dyDescent="0.25">
      <c r="L34" s="242"/>
      <c r="Q34" s="214">
        <v>7</v>
      </c>
      <c r="R34" s="213">
        <v>1</v>
      </c>
      <c r="S34" s="213">
        <v>2</v>
      </c>
      <c r="T34" s="213" t="s">
        <v>260</v>
      </c>
    </row>
    <row r="35" spans="2:20" x14ac:dyDescent="0.25">
      <c r="B35" s="487" t="s">
        <v>261</v>
      </c>
      <c r="C35" s="487"/>
      <c r="D35" s="487"/>
      <c r="E35" s="487"/>
      <c r="F35" s="487"/>
      <c r="G35" s="487"/>
      <c r="H35" s="487"/>
      <c r="I35" s="487"/>
      <c r="J35" s="487"/>
      <c r="L35" s="242"/>
      <c r="Q35" s="214">
        <v>8</v>
      </c>
      <c r="R35" s="213">
        <v>2</v>
      </c>
      <c r="S35" s="213">
        <v>3</v>
      </c>
      <c r="T35" s="213" t="s">
        <v>260</v>
      </c>
    </row>
    <row r="36" spans="2:20" x14ac:dyDescent="0.25">
      <c r="L36" s="242"/>
      <c r="Q36" s="214">
        <v>9</v>
      </c>
      <c r="R36" s="213">
        <v>3</v>
      </c>
      <c r="S36" s="213">
        <v>4</v>
      </c>
      <c r="T36" s="213" t="s">
        <v>260</v>
      </c>
    </row>
    <row r="37" spans="2:20" ht="31.5" x14ac:dyDescent="0.25">
      <c r="E37" s="227"/>
      <c r="F37" s="239" t="str">
        <f>F27</f>
        <v>Médico</v>
      </c>
      <c r="G37" s="239">
        <f>G27</f>
        <v>0.06</v>
      </c>
      <c r="H37" s="239" t="str">
        <f>H27</f>
        <v>q</v>
      </c>
      <c r="I37" s="239">
        <f>I27</f>
        <v>0.02</v>
      </c>
      <c r="J37" s="239" t="s">
        <v>246</v>
      </c>
      <c r="L37" s="242"/>
      <c r="Q37" s="214">
        <v>10</v>
      </c>
      <c r="R37" s="213">
        <v>4</v>
      </c>
      <c r="S37" s="213">
        <v>5</v>
      </c>
      <c r="T37" s="213" t="s">
        <v>260</v>
      </c>
    </row>
    <row r="38" spans="2:20" ht="16.5" customHeight="1" x14ac:dyDescent="0.25">
      <c r="B38" s="227">
        <v>1</v>
      </c>
      <c r="C38" s="483" t="s">
        <v>262</v>
      </c>
      <c r="D38" s="483"/>
      <c r="E38" s="221"/>
      <c r="F38" s="221" t="s">
        <v>263</v>
      </c>
      <c r="G38" s="221" t="s">
        <v>263</v>
      </c>
      <c r="H38" s="221" t="s">
        <v>263</v>
      </c>
      <c r="I38" s="221" t="s">
        <v>263</v>
      </c>
      <c r="J38" s="221" t="s">
        <v>263</v>
      </c>
      <c r="L38" s="242"/>
      <c r="P38" s="214"/>
      <c r="Q38" s="214">
        <v>11</v>
      </c>
      <c r="R38" s="213">
        <v>5</v>
      </c>
      <c r="S38" s="213">
        <v>6</v>
      </c>
    </row>
    <row r="39" spans="2:20" ht="16.5" customHeight="1" x14ac:dyDescent="0.25">
      <c r="B39" s="222" t="s">
        <v>227</v>
      </c>
      <c r="C39" s="506" t="s">
        <v>264</v>
      </c>
      <c r="D39" s="506"/>
      <c r="E39" s="240"/>
      <c r="F39" s="240">
        <f>F29</f>
        <v>4200</v>
      </c>
      <c r="G39" s="240" t="str">
        <f>G29</f>
        <v>*</v>
      </c>
      <c r="H39" s="240" t="str">
        <f>H29</f>
        <v>*</v>
      </c>
      <c r="I39" s="240" t="str">
        <f>I29</f>
        <v>*</v>
      </c>
      <c r="J39" s="240" t="str">
        <f>J29</f>
        <v>1084*</v>
      </c>
      <c r="L39" s="242"/>
      <c r="P39" s="214"/>
      <c r="Q39" s="214">
        <v>12</v>
      </c>
      <c r="R39" s="213">
        <v>6</v>
      </c>
      <c r="S39" s="213">
        <v>7</v>
      </c>
    </row>
    <row r="40" spans="2:20" ht="16.5" customHeight="1" x14ac:dyDescent="0.25">
      <c r="B40" s="222" t="s">
        <v>229</v>
      </c>
      <c r="C40" s="506" t="s">
        <v>265</v>
      </c>
      <c r="D40" s="506"/>
      <c r="E40" s="224"/>
      <c r="F40" s="224"/>
      <c r="G40" s="224" t="e">
        <f>G39*30%</f>
        <v>#VALUE!</v>
      </c>
      <c r="H40" s="224" t="e">
        <f>H39*30%</f>
        <v>#VALUE!</v>
      </c>
      <c r="I40" s="224" t="e">
        <f>I39*30%</f>
        <v>#VALUE!</v>
      </c>
      <c r="J40" s="224" t="e">
        <f>J39*30%</f>
        <v>#VALUE!</v>
      </c>
      <c r="L40" s="242"/>
      <c r="P40" s="214"/>
    </row>
    <row r="41" spans="2:20" ht="16.5" customHeight="1" x14ac:dyDescent="0.25">
      <c r="B41" s="222" t="s">
        <v>232</v>
      </c>
      <c r="C41" s="486" t="s">
        <v>266</v>
      </c>
      <c r="D41" s="486"/>
      <c r="E41" s="224"/>
      <c r="F41" s="224"/>
      <c r="G41" s="224"/>
      <c r="H41" s="224"/>
      <c r="I41" s="224"/>
      <c r="J41" s="224"/>
      <c r="L41" s="242"/>
      <c r="P41" s="214"/>
    </row>
    <row r="42" spans="2:20" ht="16.5" customHeight="1" x14ac:dyDescent="0.25">
      <c r="B42" s="222" t="s">
        <v>234</v>
      </c>
      <c r="C42" s="486" t="s">
        <v>379</v>
      </c>
      <c r="D42" s="486"/>
      <c r="E42" s="224"/>
      <c r="F42" s="224"/>
      <c r="G42" s="224" t="e">
        <f>((G40+G39)*7/12*35%)</f>
        <v>#VALUE!</v>
      </c>
      <c r="H42" s="224"/>
      <c r="I42" s="224"/>
      <c r="J42" s="224" t="e">
        <f>((J40+J39)*7/12*35%)</f>
        <v>#VALUE!</v>
      </c>
      <c r="L42" s="242"/>
      <c r="P42" s="214"/>
    </row>
    <row r="43" spans="2:20" ht="16.5" customHeight="1" x14ac:dyDescent="0.25">
      <c r="B43" s="222" t="s">
        <v>267</v>
      </c>
      <c r="C43" s="486" t="s">
        <v>268</v>
      </c>
      <c r="D43" s="486"/>
      <c r="E43" s="224"/>
      <c r="F43" s="224"/>
      <c r="G43" s="224" t="e">
        <f>((G39+G40)*8.33%*1.35)</f>
        <v>#VALUE!</v>
      </c>
      <c r="H43" s="224"/>
      <c r="I43" s="224"/>
      <c r="J43" s="224" t="e">
        <f>((J39+J40)*8.33%*1.35)</f>
        <v>#VALUE!</v>
      </c>
      <c r="L43" s="242"/>
      <c r="P43" s="214"/>
    </row>
    <row r="44" spans="2:20" ht="16.5" customHeight="1" x14ac:dyDescent="0.25">
      <c r="B44" s="222" t="s">
        <v>269</v>
      </c>
      <c r="C44" s="486" t="s">
        <v>41</v>
      </c>
      <c r="D44" s="486"/>
      <c r="E44" s="224"/>
      <c r="F44" s="224"/>
      <c r="G44" s="224"/>
      <c r="H44" s="224" t="e">
        <f>H39*50%</f>
        <v>#VALUE!</v>
      </c>
      <c r="I44" s="224"/>
      <c r="J44" s="224" t="e">
        <f>J39*50%</f>
        <v>#VALUE!</v>
      </c>
      <c r="L44" s="242"/>
      <c r="P44" s="214"/>
    </row>
    <row r="45" spans="2:20" ht="16.5" customHeight="1" x14ac:dyDescent="0.25">
      <c r="B45" s="222" t="s">
        <v>270</v>
      </c>
      <c r="C45" s="486" t="s">
        <v>271</v>
      </c>
      <c r="D45" s="486"/>
      <c r="E45" s="224"/>
      <c r="F45" s="224"/>
      <c r="G45" s="224"/>
      <c r="H45" s="224"/>
      <c r="I45" s="224"/>
      <c r="J45" s="224"/>
      <c r="L45" s="242"/>
      <c r="P45" s="214"/>
    </row>
    <row r="46" spans="2:20" ht="16.5" customHeight="1" x14ac:dyDescent="0.25">
      <c r="B46" s="483" t="s">
        <v>44</v>
      </c>
      <c r="C46" s="483"/>
      <c r="D46" s="483"/>
      <c r="E46" s="243"/>
      <c r="F46" s="243">
        <f>SUM(F39:F45)</f>
        <v>4200</v>
      </c>
      <c r="G46" s="243" t="e">
        <f>SUM(G39:G45)</f>
        <v>#VALUE!</v>
      </c>
      <c r="H46" s="243" t="e">
        <f>SUM(H39:H45)</f>
        <v>#VALUE!</v>
      </c>
      <c r="I46" s="243" t="e">
        <f>SUM(I39:I45)</f>
        <v>#VALUE!</v>
      </c>
      <c r="J46" s="243" t="e">
        <f>SUM(J39:J45)</f>
        <v>#VALUE!</v>
      </c>
      <c r="L46" s="242"/>
      <c r="P46" s="214"/>
    </row>
    <row r="47" spans="2:20" x14ac:dyDescent="0.25">
      <c r="L47" s="242"/>
    </row>
    <row r="48" spans="2:20" x14ac:dyDescent="0.25">
      <c r="E48" s="350"/>
      <c r="F48" s="350"/>
      <c r="G48" s="350"/>
      <c r="L48" s="242"/>
    </row>
    <row r="49" spans="2:16" x14ac:dyDescent="0.25">
      <c r="B49" s="487" t="s">
        <v>272</v>
      </c>
      <c r="C49" s="487"/>
      <c r="D49" s="487"/>
      <c r="E49" s="487"/>
      <c r="F49" s="487"/>
      <c r="G49" s="487"/>
      <c r="H49" s="487"/>
      <c r="I49" s="487"/>
      <c r="J49" s="487"/>
      <c r="L49" s="242"/>
    </row>
    <row r="50" spans="2:16" x14ac:dyDescent="0.25">
      <c r="B50" s="244"/>
      <c r="L50" s="242"/>
    </row>
    <row r="51" spans="2:16" x14ac:dyDescent="0.25">
      <c r="B51" s="488" t="s">
        <v>273</v>
      </c>
      <c r="C51" s="488"/>
      <c r="D51" s="488"/>
      <c r="E51" s="488"/>
      <c r="F51" s="488"/>
      <c r="G51" s="488"/>
      <c r="H51" s="488"/>
      <c r="I51" s="488"/>
      <c r="J51" s="488"/>
      <c r="L51" s="242"/>
    </row>
    <row r="52" spans="2:16" x14ac:dyDescent="0.25">
      <c r="L52" s="242"/>
    </row>
    <row r="53" spans="2:16" ht="31.5" x14ac:dyDescent="0.25">
      <c r="E53" s="227"/>
      <c r="F53" s="239" t="str">
        <f>F37</f>
        <v>Médico</v>
      </c>
      <c r="G53" s="239">
        <f>G37</f>
        <v>0.06</v>
      </c>
      <c r="H53" s="239" t="str">
        <f>H37</f>
        <v>q</v>
      </c>
      <c r="I53" s="239">
        <f>I37</f>
        <v>0.02</v>
      </c>
      <c r="J53" s="239" t="s">
        <v>246</v>
      </c>
      <c r="L53" s="242"/>
    </row>
    <row r="54" spans="2:16" ht="32.25" customHeight="1" x14ac:dyDescent="0.25">
      <c r="B54" s="227" t="s">
        <v>274</v>
      </c>
      <c r="C54" s="483" t="s">
        <v>275</v>
      </c>
      <c r="D54" s="483"/>
      <c r="E54" s="221"/>
      <c r="F54" s="221" t="s">
        <v>263</v>
      </c>
      <c r="G54" s="221" t="s">
        <v>263</v>
      </c>
      <c r="H54" s="221" t="s">
        <v>263</v>
      </c>
      <c r="I54" s="221" t="s">
        <v>263</v>
      </c>
      <c r="J54" s="221" t="s">
        <v>263</v>
      </c>
      <c r="L54" s="242"/>
      <c r="P54" s="214"/>
    </row>
    <row r="55" spans="2:16" ht="16.5" customHeight="1" x14ac:dyDescent="0.25">
      <c r="B55" s="222" t="s">
        <v>227</v>
      </c>
      <c r="C55" s="486" t="s">
        <v>276</v>
      </c>
      <c r="D55" s="486"/>
      <c r="E55" s="224"/>
      <c r="F55" s="224">
        <f>F46*8.33%</f>
        <v>349.86</v>
      </c>
      <c r="G55" s="224" t="e">
        <f>G46*8.33%</f>
        <v>#VALUE!</v>
      </c>
      <c r="H55" s="224" t="e">
        <f>H46*8.33%</f>
        <v>#VALUE!</v>
      </c>
      <c r="I55" s="224" t="e">
        <f>I46*8.33%</f>
        <v>#VALUE!</v>
      </c>
      <c r="J55" s="224" t="e">
        <f>(1/12)*J46</f>
        <v>#VALUE!</v>
      </c>
      <c r="L55" s="242"/>
      <c r="P55" s="214"/>
    </row>
    <row r="56" spans="2:16" ht="16.5" customHeight="1" x14ac:dyDescent="0.25">
      <c r="B56" s="222" t="s">
        <v>229</v>
      </c>
      <c r="C56" s="486" t="s">
        <v>277</v>
      </c>
      <c r="D56" s="486"/>
      <c r="E56" s="224"/>
      <c r="F56" s="224">
        <f>F46*12.1%</f>
        <v>508.2</v>
      </c>
      <c r="G56" s="224" t="e">
        <f>G46*12.1%</f>
        <v>#VALUE!</v>
      </c>
      <c r="H56" s="224" t="e">
        <f>H46*12.1%</f>
        <v>#VALUE!</v>
      </c>
      <c r="I56" s="224" t="e">
        <f>I46*12.1%</f>
        <v>#VALUE!</v>
      </c>
      <c r="J56" s="224" t="e">
        <f>((1/12)+((1/3)/12))*J46</f>
        <v>#VALUE!</v>
      </c>
      <c r="L56" s="242"/>
      <c r="P56" s="214"/>
    </row>
    <row r="57" spans="2:16" ht="16.5" customHeight="1" x14ac:dyDescent="0.25">
      <c r="B57" s="483" t="s">
        <v>44</v>
      </c>
      <c r="C57" s="483"/>
      <c r="D57" s="483"/>
      <c r="E57" s="246"/>
      <c r="F57" s="246">
        <f>SUM(F55:F56)</f>
        <v>858.06</v>
      </c>
      <c r="G57" s="246" t="e">
        <f>SUM(G55:G56)</f>
        <v>#VALUE!</v>
      </c>
      <c r="H57" s="246" t="e">
        <f>SUM(H55:H56)</f>
        <v>#VALUE!</v>
      </c>
      <c r="I57" s="246" t="e">
        <f>SUM(I55:I56)</f>
        <v>#VALUE!</v>
      </c>
      <c r="J57" s="246" t="e">
        <f>SUM(J55:J56)</f>
        <v>#VALUE!</v>
      </c>
      <c r="L57" s="242"/>
      <c r="P57" s="214"/>
    </row>
    <row r="58" spans="2:16" x14ac:dyDescent="0.25">
      <c r="L58" s="242"/>
    </row>
    <row r="59" spans="2:16" x14ac:dyDescent="0.25">
      <c r="L59" s="242"/>
    </row>
    <row r="60" spans="2:16" ht="24.75" customHeight="1" x14ac:dyDescent="0.25">
      <c r="B60" s="489" t="s">
        <v>278</v>
      </c>
      <c r="C60" s="489"/>
      <c r="D60" s="489"/>
      <c r="E60" s="489"/>
      <c r="F60" s="489"/>
      <c r="G60" s="489"/>
      <c r="H60" s="489"/>
      <c r="I60" s="489"/>
      <c r="J60" s="489"/>
      <c r="L60" s="242"/>
    </row>
    <row r="61" spans="2:16" x14ac:dyDescent="0.25">
      <c r="L61" s="242"/>
    </row>
    <row r="62" spans="2:16" ht="31.5" x14ac:dyDescent="0.25">
      <c r="E62" s="227"/>
      <c r="F62" s="239" t="str">
        <f>F53</f>
        <v>Médico</v>
      </c>
      <c r="G62" s="239">
        <f>G53</f>
        <v>0.06</v>
      </c>
      <c r="H62" s="239" t="str">
        <f>H53</f>
        <v>q</v>
      </c>
      <c r="I62" s="239">
        <f>I53</f>
        <v>0.02</v>
      </c>
      <c r="J62" s="239" t="s">
        <v>246</v>
      </c>
      <c r="L62" s="242"/>
    </row>
    <row r="63" spans="2:16" ht="21.75" customHeight="1" x14ac:dyDescent="0.25">
      <c r="B63" s="227" t="s">
        <v>279</v>
      </c>
      <c r="C63" s="221" t="s">
        <v>280</v>
      </c>
      <c r="D63" s="221" t="s">
        <v>281</v>
      </c>
      <c r="E63" s="221"/>
      <c r="F63" s="221" t="s">
        <v>263</v>
      </c>
      <c r="G63" s="221" t="s">
        <v>263</v>
      </c>
      <c r="H63" s="221" t="s">
        <v>263</v>
      </c>
      <c r="I63" s="221" t="s">
        <v>263</v>
      </c>
      <c r="J63" s="221" t="s">
        <v>263</v>
      </c>
      <c r="L63" s="242"/>
    </row>
    <row r="64" spans="2:16" x14ac:dyDescent="0.25">
      <c r="B64" s="222" t="s">
        <v>227</v>
      </c>
      <c r="C64" s="223" t="s">
        <v>282</v>
      </c>
      <c r="D64" s="248">
        <v>0.2</v>
      </c>
      <c r="E64" s="224"/>
      <c r="F64" s="224">
        <f t="shared" ref="F64:F71" si="0">($F$57+$F$46)*D64</f>
        <v>1011.612</v>
      </c>
      <c r="G64" s="224" t="e">
        <f t="shared" ref="G64:G71" si="1">($G$57+$G$46)*D64</f>
        <v>#VALUE!</v>
      </c>
      <c r="H64" s="224" t="e">
        <f t="shared" ref="H64:H71" si="2">($H$57+$H$46)*D64</f>
        <v>#VALUE!</v>
      </c>
      <c r="I64" s="224" t="e">
        <f t="shared" ref="I64:I71" si="3">($I$57+$I$46)*D64</f>
        <v>#VALUE!</v>
      </c>
      <c r="J64" s="224" t="e">
        <f t="shared" ref="J64:J71" si="4">($J$57+$E$46)*D64</f>
        <v>#VALUE!</v>
      </c>
      <c r="L64" s="242"/>
    </row>
    <row r="65" spans="2:16" x14ac:dyDescent="0.25">
      <c r="B65" s="222" t="s">
        <v>229</v>
      </c>
      <c r="C65" s="223" t="s">
        <v>283</v>
      </c>
      <c r="D65" s="248">
        <v>2.5000000000000001E-2</v>
      </c>
      <c r="E65" s="224"/>
      <c r="F65" s="224">
        <f t="shared" si="0"/>
        <v>126.4515</v>
      </c>
      <c r="G65" s="224" t="e">
        <f t="shared" si="1"/>
        <v>#VALUE!</v>
      </c>
      <c r="H65" s="224" t="e">
        <f t="shared" si="2"/>
        <v>#VALUE!</v>
      </c>
      <c r="I65" s="224" t="e">
        <f t="shared" si="3"/>
        <v>#VALUE!</v>
      </c>
      <c r="J65" s="224" t="e">
        <f t="shared" si="4"/>
        <v>#VALUE!</v>
      </c>
      <c r="L65" s="242"/>
    </row>
    <row r="66" spans="2:16" x14ac:dyDescent="0.25">
      <c r="B66" s="222" t="s">
        <v>232</v>
      </c>
      <c r="C66" s="223" t="s">
        <v>284</v>
      </c>
      <c r="D66" s="248">
        <v>0.03</v>
      </c>
      <c r="E66" s="224"/>
      <c r="F66" s="224">
        <f t="shared" si="0"/>
        <v>151.74179999999998</v>
      </c>
      <c r="G66" s="224" t="e">
        <f t="shared" si="1"/>
        <v>#VALUE!</v>
      </c>
      <c r="H66" s="224" t="e">
        <f t="shared" si="2"/>
        <v>#VALUE!</v>
      </c>
      <c r="I66" s="224" t="e">
        <f t="shared" si="3"/>
        <v>#VALUE!</v>
      </c>
      <c r="J66" s="224" t="e">
        <f t="shared" si="4"/>
        <v>#VALUE!</v>
      </c>
      <c r="L66" s="242"/>
    </row>
    <row r="67" spans="2:16" x14ac:dyDescent="0.25">
      <c r="B67" s="222" t="s">
        <v>234</v>
      </c>
      <c r="C67" s="440" t="s">
        <v>285</v>
      </c>
      <c r="D67" s="248">
        <v>0.01</v>
      </c>
      <c r="E67" s="224"/>
      <c r="F67" s="224">
        <f t="shared" si="0"/>
        <v>50.580599999999997</v>
      </c>
      <c r="G67" s="224" t="e">
        <f t="shared" si="1"/>
        <v>#VALUE!</v>
      </c>
      <c r="H67" s="224" t="e">
        <f t="shared" si="2"/>
        <v>#VALUE!</v>
      </c>
      <c r="I67" s="224" t="e">
        <f t="shared" si="3"/>
        <v>#VALUE!</v>
      </c>
      <c r="J67" s="224" t="e">
        <f t="shared" si="4"/>
        <v>#VALUE!</v>
      </c>
      <c r="L67" s="242"/>
    </row>
    <row r="68" spans="2:16" x14ac:dyDescent="0.25">
      <c r="B68" s="222" t="s">
        <v>267</v>
      </c>
      <c r="C68" s="223" t="s">
        <v>286</v>
      </c>
      <c r="D68" s="248">
        <v>0.01</v>
      </c>
      <c r="E68" s="224"/>
      <c r="F68" s="224">
        <f t="shared" si="0"/>
        <v>50.580599999999997</v>
      </c>
      <c r="G68" s="224" t="e">
        <f t="shared" si="1"/>
        <v>#VALUE!</v>
      </c>
      <c r="H68" s="224" t="e">
        <f t="shared" si="2"/>
        <v>#VALUE!</v>
      </c>
      <c r="I68" s="224" t="e">
        <f t="shared" si="3"/>
        <v>#VALUE!</v>
      </c>
      <c r="J68" s="224" t="e">
        <f t="shared" si="4"/>
        <v>#VALUE!</v>
      </c>
      <c r="L68" s="242"/>
    </row>
    <row r="69" spans="2:16" x14ac:dyDescent="0.25">
      <c r="B69" s="222" t="s">
        <v>269</v>
      </c>
      <c r="C69" s="223" t="s">
        <v>64</v>
      </c>
      <c r="D69" s="248">
        <v>6.0000000000000001E-3</v>
      </c>
      <c r="E69" s="224"/>
      <c r="F69" s="224">
        <f t="shared" si="0"/>
        <v>30.348359999999996</v>
      </c>
      <c r="G69" s="224" t="e">
        <f t="shared" si="1"/>
        <v>#VALUE!</v>
      </c>
      <c r="H69" s="224" t="e">
        <f t="shared" si="2"/>
        <v>#VALUE!</v>
      </c>
      <c r="I69" s="224" t="e">
        <f t="shared" si="3"/>
        <v>#VALUE!</v>
      </c>
      <c r="J69" s="224" t="e">
        <f t="shared" si="4"/>
        <v>#VALUE!</v>
      </c>
      <c r="L69" s="242"/>
    </row>
    <row r="70" spans="2:16" x14ac:dyDescent="0.25">
      <c r="B70" s="222" t="s">
        <v>270</v>
      </c>
      <c r="C70" s="223" t="s">
        <v>65</v>
      </c>
      <c r="D70" s="248">
        <v>2E-3</v>
      </c>
      <c r="E70" s="224"/>
      <c r="F70" s="224">
        <f t="shared" si="0"/>
        <v>10.116119999999999</v>
      </c>
      <c r="G70" s="224" t="e">
        <f t="shared" si="1"/>
        <v>#VALUE!</v>
      </c>
      <c r="H70" s="224" t="e">
        <f t="shared" si="2"/>
        <v>#VALUE!</v>
      </c>
      <c r="I70" s="224" t="e">
        <f t="shared" si="3"/>
        <v>#VALUE!</v>
      </c>
      <c r="J70" s="224" t="e">
        <f t="shared" si="4"/>
        <v>#VALUE!</v>
      </c>
      <c r="L70" s="242"/>
    </row>
    <row r="71" spans="2:16" x14ac:dyDescent="0.25">
      <c r="B71" s="222" t="s">
        <v>287</v>
      </c>
      <c r="C71" s="223" t="s">
        <v>66</v>
      </c>
      <c r="D71" s="248">
        <v>0.08</v>
      </c>
      <c r="E71" s="224"/>
      <c r="F71" s="224">
        <f t="shared" si="0"/>
        <v>404.64479999999998</v>
      </c>
      <c r="G71" s="224" t="e">
        <f t="shared" si="1"/>
        <v>#VALUE!</v>
      </c>
      <c r="H71" s="224" t="e">
        <f t="shared" si="2"/>
        <v>#VALUE!</v>
      </c>
      <c r="I71" s="224" t="e">
        <f t="shared" si="3"/>
        <v>#VALUE!</v>
      </c>
      <c r="J71" s="224" t="e">
        <f t="shared" si="4"/>
        <v>#VALUE!</v>
      </c>
      <c r="L71" s="242"/>
    </row>
    <row r="72" spans="2:16" ht="24" customHeight="1" x14ac:dyDescent="0.25">
      <c r="B72" s="483" t="s">
        <v>288</v>
      </c>
      <c r="C72" s="483"/>
      <c r="D72" s="249">
        <f>SUM(D64:D71)</f>
        <v>0.36300000000000004</v>
      </c>
      <c r="E72" s="243"/>
      <c r="F72" s="243">
        <f>SUM(F64:F71)</f>
        <v>1836.0757799999999</v>
      </c>
      <c r="G72" s="243" t="e">
        <f>SUM(G64:G71)</f>
        <v>#VALUE!</v>
      </c>
      <c r="H72" s="243" t="e">
        <f>SUM(H64:H71)</f>
        <v>#VALUE!</v>
      </c>
      <c r="I72" s="243" t="e">
        <f>SUM(I64:I71)</f>
        <v>#VALUE!</v>
      </c>
      <c r="J72" s="243" t="e">
        <f>SUM(J64:J71)</f>
        <v>#VALUE!</v>
      </c>
      <c r="L72" s="242"/>
    </row>
    <row r="73" spans="2:16" x14ac:dyDescent="0.25">
      <c r="L73" s="242"/>
    </row>
    <row r="74" spans="2:16" x14ac:dyDescent="0.25">
      <c r="L74" s="242"/>
    </row>
    <row r="75" spans="2:16" x14ac:dyDescent="0.25">
      <c r="B75" s="488" t="s">
        <v>289</v>
      </c>
      <c r="C75" s="488"/>
      <c r="D75" s="488"/>
      <c r="E75" s="488"/>
      <c r="F75" s="488"/>
      <c r="G75" s="488"/>
      <c r="H75" s="488"/>
      <c r="I75" s="488"/>
      <c r="J75" s="488"/>
      <c r="L75" s="242"/>
    </row>
    <row r="76" spans="2:16" x14ac:dyDescent="0.25">
      <c r="L76" s="242"/>
    </row>
    <row r="77" spans="2:16" ht="31.5" x14ac:dyDescent="0.25">
      <c r="E77" s="227"/>
      <c r="F77" s="239" t="str">
        <f>F62</f>
        <v>Médico</v>
      </c>
      <c r="G77" s="239">
        <f>G62</f>
        <v>0.06</v>
      </c>
      <c r="H77" s="239" t="str">
        <f>H62</f>
        <v>q</v>
      </c>
      <c r="I77" s="239">
        <f>I62</f>
        <v>0.02</v>
      </c>
      <c r="J77" s="239" t="s">
        <v>246</v>
      </c>
      <c r="L77" s="242"/>
    </row>
    <row r="78" spans="2:16" ht="16.5" customHeight="1" x14ac:dyDescent="0.25">
      <c r="B78" s="227" t="s">
        <v>290</v>
      </c>
      <c r="C78" s="483" t="s">
        <v>291</v>
      </c>
      <c r="D78" s="483"/>
      <c r="E78" s="250"/>
      <c r="F78" s="250" t="s">
        <v>263</v>
      </c>
      <c r="G78" s="250" t="s">
        <v>263</v>
      </c>
      <c r="H78" s="250" t="s">
        <v>263</v>
      </c>
      <c r="I78" s="250" t="s">
        <v>263</v>
      </c>
      <c r="J78" s="250" t="s">
        <v>263</v>
      </c>
      <c r="L78" s="242"/>
      <c r="P78" s="214"/>
    </row>
    <row r="79" spans="2:16" ht="16.5" customHeight="1" x14ac:dyDescent="0.25">
      <c r="B79" s="222" t="s">
        <v>227</v>
      </c>
      <c r="C79" s="486" t="s">
        <v>292</v>
      </c>
      <c r="D79" s="486"/>
      <c r="E79" s="251"/>
      <c r="F79" s="251">
        <f>(4*2*22)-F39*0.06+156.05</f>
        <v>80.050000000000011</v>
      </c>
      <c r="G79" s="251" t="e">
        <f>(4*2*15)-G39*50%*0.06</f>
        <v>#VALUE!</v>
      </c>
      <c r="H79" s="251" t="e">
        <f>(4*2*22)-H39*0.06</f>
        <v>#VALUE!</v>
      </c>
      <c r="I79" s="251" t="e">
        <f>(4*2*22)-I39*0.06</f>
        <v>#VALUE!</v>
      </c>
      <c r="J79" s="251" t="e">
        <f>(4*2*15)-J39*50%*0.06</f>
        <v>#VALUE!</v>
      </c>
      <c r="L79" s="242"/>
      <c r="P79" s="214"/>
    </row>
    <row r="80" spans="2:16" ht="16.5" customHeight="1" x14ac:dyDescent="0.25">
      <c r="B80" s="222" t="s">
        <v>229</v>
      </c>
      <c r="C80" s="486" t="s">
        <v>293</v>
      </c>
      <c r="D80" s="486"/>
      <c r="E80" s="251"/>
      <c r="F80" s="251"/>
      <c r="G80" s="251"/>
      <c r="H80" s="251"/>
      <c r="I80" s="251"/>
      <c r="J80" s="251">
        <f>(13.52*15)-(15%*(13.52*15))</f>
        <v>172.38</v>
      </c>
      <c r="L80" s="242"/>
      <c r="P80" s="214"/>
    </row>
    <row r="81" spans="2:21" ht="16.5" customHeight="1" x14ac:dyDescent="0.25">
      <c r="B81" s="222" t="s">
        <v>232</v>
      </c>
      <c r="C81" s="486" t="s">
        <v>380</v>
      </c>
      <c r="D81" s="486"/>
      <c r="E81" s="251"/>
      <c r="F81" s="251"/>
      <c r="G81" s="251"/>
      <c r="H81" s="251"/>
      <c r="I81" s="251"/>
      <c r="J81" s="251"/>
      <c r="L81" s="242"/>
      <c r="P81" s="214"/>
    </row>
    <row r="82" spans="2:21" ht="16.5" customHeight="1" x14ac:dyDescent="0.25">
      <c r="B82" s="222" t="s">
        <v>234</v>
      </c>
      <c r="C82" s="486" t="s">
        <v>436</v>
      </c>
      <c r="D82" s="486"/>
      <c r="E82" s="251"/>
      <c r="F82" s="251"/>
      <c r="G82" s="251"/>
      <c r="H82" s="251"/>
      <c r="I82" s="251"/>
      <c r="J82" s="251"/>
      <c r="L82" s="441" t="s">
        <v>437</v>
      </c>
      <c r="P82" s="214"/>
    </row>
    <row r="83" spans="2:21" x14ac:dyDescent="0.25">
      <c r="B83" s="222" t="s">
        <v>267</v>
      </c>
      <c r="C83" s="486"/>
      <c r="D83" s="486"/>
      <c r="E83" s="251"/>
      <c r="F83" s="251"/>
      <c r="G83" s="251"/>
      <c r="H83" s="251"/>
      <c r="I83" s="251"/>
      <c r="J83" s="251"/>
      <c r="L83" s="242"/>
      <c r="P83" s="214"/>
    </row>
    <row r="84" spans="2:21" x14ac:dyDescent="0.25">
      <c r="B84" s="222" t="s">
        <v>269</v>
      </c>
      <c r="C84" s="486"/>
      <c r="D84" s="486"/>
      <c r="E84" s="251"/>
      <c r="F84" s="251"/>
      <c r="G84" s="251"/>
      <c r="H84" s="251"/>
      <c r="I84" s="251"/>
      <c r="J84" s="251">
        <v>40.200000000000003</v>
      </c>
      <c r="L84" s="252"/>
      <c r="P84" s="214"/>
      <c r="Q84" s="214"/>
      <c r="R84" s="214"/>
      <c r="S84" s="214"/>
      <c r="T84" s="214"/>
      <c r="U84" s="214"/>
    </row>
    <row r="85" spans="2:21" x14ac:dyDescent="0.25">
      <c r="B85" s="222" t="s">
        <v>270</v>
      </c>
      <c r="C85" s="486"/>
      <c r="D85" s="486"/>
      <c r="E85" s="251"/>
      <c r="F85" s="251"/>
      <c r="G85" s="251"/>
      <c r="H85" s="251"/>
      <c r="I85" s="251"/>
      <c r="J85" s="251" t="e">
        <f>(J39*8.5%*9)/12</f>
        <v>#VALUE!</v>
      </c>
      <c r="L85" s="252"/>
      <c r="P85" s="214"/>
      <c r="Q85" s="214"/>
      <c r="R85" s="214"/>
      <c r="S85" s="214"/>
      <c r="T85" s="214"/>
      <c r="U85" s="214"/>
    </row>
    <row r="86" spans="2:21" x14ac:dyDescent="0.25">
      <c r="B86" s="222" t="s">
        <v>287</v>
      </c>
      <c r="C86" s="486"/>
      <c r="D86" s="486"/>
      <c r="E86" s="251"/>
      <c r="F86" s="251"/>
      <c r="G86" s="251"/>
      <c r="H86" s="251"/>
      <c r="I86" s="251"/>
      <c r="J86" s="251">
        <f>(9.61*12*50%)/12</f>
        <v>4.8049999999999997</v>
      </c>
      <c r="L86" s="252"/>
      <c r="P86" s="214"/>
      <c r="Q86" s="214"/>
      <c r="R86" s="214"/>
      <c r="S86" s="214"/>
      <c r="T86" s="214"/>
      <c r="U86" s="214"/>
    </row>
    <row r="87" spans="2:21" ht="16.5" customHeight="1" x14ac:dyDescent="0.25">
      <c r="B87" s="483" t="s">
        <v>44</v>
      </c>
      <c r="C87" s="483"/>
      <c r="D87" s="483"/>
      <c r="E87" s="253"/>
      <c r="F87" s="253">
        <f>SUM(F79:F86)</f>
        <v>80.050000000000011</v>
      </c>
      <c r="G87" s="253" t="e">
        <f>SUM(G79:G86)</f>
        <v>#VALUE!</v>
      </c>
      <c r="H87" s="253" t="e">
        <f>SUM(H79:H86)</f>
        <v>#VALUE!</v>
      </c>
      <c r="I87" s="253" t="e">
        <f>SUM(I79:I86)</f>
        <v>#VALUE!</v>
      </c>
      <c r="J87" s="253" t="e">
        <f>SUM(J79:J86)</f>
        <v>#VALUE!</v>
      </c>
      <c r="L87" s="242"/>
      <c r="P87" s="214"/>
      <c r="Q87" s="214"/>
      <c r="R87" s="214"/>
      <c r="S87" s="214"/>
      <c r="T87" s="214"/>
      <c r="U87" s="214"/>
    </row>
    <row r="88" spans="2:21" x14ac:dyDescent="0.25">
      <c r="L88" s="242"/>
      <c r="P88" s="214"/>
      <c r="Q88" s="214"/>
      <c r="R88" s="214"/>
      <c r="S88" s="214"/>
      <c r="T88" s="214"/>
    </row>
    <row r="89" spans="2:21" x14ac:dyDescent="0.25">
      <c r="L89" s="242"/>
      <c r="P89" s="214"/>
      <c r="Q89" s="214"/>
      <c r="R89" s="214"/>
      <c r="S89" s="214"/>
      <c r="T89" s="214"/>
    </row>
    <row r="90" spans="2:21" x14ac:dyDescent="0.25">
      <c r="B90" s="488" t="s">
        <v>301</v>
      </c>
      <c r="C90" s="488"/>
      <c r="D90" s="488"/>
      <c r="E90" s="488"/>
      <c r="F90" s="488"/>
      <c r="G90" s="488"/>
      <c r="H90" s="488"/>
      <c r="I90" s="488"/>
      <c r="J90" s="488"/>
      <c r="L90" s="242"/>
      <c r="P90" s="214"/>
      <c r="Q90" s="214"/>
      <c r="R90" s="214"/>
      <c r="S90" s="214"/>
      <c r="T90" s="214"/>
    </row>
    <row r="91" spans="2:21" x14ac:dyDescent="0.25">
      <c r="L91" s="242"/>
      <c r="P91" s="214"/>
      <c r="Q91" s="214"/>
      <c r="R91" s="214"/>
      <c r="S91" s="214"/>
      <c r="T91" s="214"/>
    </row>
    <row r="92" spans="2:21" ht="31.5" x14ac:dyDescent="0.25">
      <c r="E92" s="227"/>
      <c r="F92" s="239" t="str">
        <f>F77</f>
        <v>Médico</v>
      </c>
      <c r="G92" s="239">
        <f>G77</f>
        <v>0.06</v>
      </c>
      <c r="H92" s="239" t="str">
        <f>H77</f>
        <v>q</v>
      </c>
      <c r="I92" s="239">
        <f>I77</f>
        <v>0.02</v>
      </c>
      <c r="J92" s="239" t="s">
        <v>246</v>
      </c>
      <c r="L92" s="242"/>
      <c r="P92" s="214"/>
      <c r="Q92" s="214"/>
      <c r="R92" s="214"/>
      <c r="S92" s="214"/>
      <c r="T92" s="214"/>
    </row>
    <row r="93" spans="2:21" ht="16.5" customHeight="1" x14ac:dyDescent="0.25">
      <c r="B93" s="227">
        <v>2</v>
      </c>
      <c r="C93" s="483" t="s">
        <v>302</v>
      </c>
      <c r="D93" s="483"/>
      <c r="E93" s="221"/>
      <c r="F93" s="221" t="s">
        <v>263</v>
      </c>
      <c r="G93" s="221" t="s">
        <v>263</v>
      </c>
      <c r="H93" s="221" t="s">
        <v>263</v>
      </c>
      <c r="I93" s="221" t="s">
        <v>263</v>
      </c>
      <c r="J93" s="221" t="s">
        <v>263</v>
      </c>
      <c r="L93" s="242"/>
      <c r="P93" s="214"/>
      <c r="Q93" s="214"/>
      <c r="R93" s="214"/>
      <c r="S93" s="214"/>
      <c r="T93" s="214"/>
      <c r="U93" s="214"/>
    </row>
    <row r="94" spans="2:21" ht="21" customHeight="1" x14ac:dyDescent="0.25">
      <c r="B94" s="222" t="s">
        <v>274</v>
      </c>
      <c r="C94" s="486" t="s">
        <v>275</v>
      </c>
      <c r="D94" s="486"/>
      <c r="E94" s="224"/>
      <c r="F94" s="224">
        <f>F57</f>
        <v>858.06</v>
      </c>
      <c r="G94" s="224" t="e">
        <f>G57</f>
        <v>#VALUE!</v>
      </c>
      <c r="H94" s="224" t="e">
        <f>H57</f>
        <v>#VALUE!</v>
      </c>
      <c r="I94" s="224" t="e">
        <f>I57</f>
        <v>#VALUE!</v>
      </c>
      <c r="J94" s="224" t="e">
        <f>J57</f>
        <v>#VALUE!</v>
      </c>
      <c r="K94" s="254"/>
      <c r="L94" s="242"/>
      <c r="P94" s="214"/>
      <c r="Q94" s="214"/>
      <c r="R94" s="214"/>
      <c r="S94" s="214"/>
      <c r="T94" s="214"/>
      <c r="U94" s="214"/>
    </row>
    <row r="95" spans="2:21" ht="16.5" customHeight="1" x14ac:dyDescent="0.25">
      <c r="B95" s="222" t="s">
        <v>279</v>
      </c>
      <c r="C95" s="486" t="s">
        <v>280</v>
      </c>
      <c r="D95" s="486"/>
      <c r="E95" s="224"/>
      <c r="F95" s="224">
        <f>F72</f>
        <v>1836.0757799999999</v>
      </c>
      <c r="G95" s="224" t="e">
        <f>G72</f>
        <v>#VALUE!</v>
      </c>
      <c r="H95" s="224" t="e">
        <f>H72</f>
        <v>#VALUE!</v>
      </c>
      <c r="I95" s="224" t="e">
        <f>I72</f>
        <v>#VALUE!</v>
      </c>
      <c r="J95" s="224" t="e">
        <f>J72</f>
        <v>#VALUE!</v>
      </c>
      <c r="L95" s="242"/>
      <c r="P95" s="214"/>
      <c r="Q95" s="214"/>
      <c r="R95" s="214"/>
      <c r="S95" s="214"/>
      <c r="T95" s="214"/>
      <c r="U95" s="214"/>
    </row>
    <row r="96" spans="2:21" ht="16.5" customHeight="1" x14ac:dyDescent="0.25">
      <c r="B96" s="222" t="s">
        <v>290</v>
      </c>
      <c r="C96" s="486" t="s">
        <v>291</v>
      </c>
      <c r="D96" s="486"/>
      <c r="E96" s="224"/>
      <c r="F96" s="224">
        <f>F87</f>
        <v>80.050000000000011</v>
      </c>
      <c r="G96" s="224" t="e">
        <f>G87</f>
        <v>#VALUE!</v>
      </c>
      <c r="H96" s="224" t="e">
        <f>H87</f>
        <v>#VALUE!</v>
      </c>
      <c r="I96" s="224" t="e">
        <f>I87</f>
        <v>#VALUE!</v>
      </c>
      <c r="J96" s="224" t="e">
        <f>J87</f>
        <v>#VALUE!</v>
      </c>
      <c r="L96" s="242"/>
      <c r="P96" s="214"/>
      <c r="Q96" s="214"/>
      <c r="R96" s="214"/>
      <c r="S96" s="214"/>
      <c r="T96" s="214"/>
      <c r="U96" s="214"/>
    </row>
    <row r="97" spans="2:21" ht="16.5" customHeight="1" x14ac:dyDescent="0.25">
      <c r="B97" s="483" t="s">
        <v>44</v>
      </c>
      <c r="C97" s="483"/>
      <c r="D97" s="483"/>
      <c r="E97" s="243"/>
      <c r="F97" s="243">
        <f>SUM(F94:F96)</f>
        <v>2774.1857799999998</v>
      </c>
      <c r="G97" s="243" t="e">
        <f>SUM(G94:G96)</f>
        <v>#VALUE!</v>
      </c>
      <c r="H97" s="243" t="e">
        <f>SUM(H94:H96)</f>
        <v>#VALUE!</v>
      </c>
      <c r="I97" s="243" t="e">
        <f>SUM(I94:I96)</f>
        <v>#VALUE!</v>
      </c>
      <c r="J97" s="243" t="e">
        <f>SUM(J94:J96)</f>
        <v>#VALUE!</v>
      </c>
      <c r="L97" s="242"/>
      <c r="P97" s="214"/>
      <c r="Q97" s="214"/>
      <c r="R97" s="214"/>
      <c r="S97" s="214"/>
      <c r="T97" s="214"/>
      <c r="U97" s="214"/>
    </row>
    <row r="98" spans="2:21" x14ac:dyDescent="0.25">
      <c r="B98" s="89"/>
      <c r="L98" s="242"/>
      <c r="P98" s="214"/>
      <c r="Q98" s="214"/>
      <c r="R98" s="214"/>
      <c r="S98" s="214"/>
      <c r="T98" s="214"/>
    </row>
    <row r="99" spans="2:21" x14ac:dyDescent="0.25">
      <c r="L99" s="242"/>
      <c r="P99" s="214"/>
      <c r="Q99" s="214"/>
      <c r="R99" s="214"/>
      <c r="S99" s="214"/>
      <c r="T99" s="214"/>
    </row>
    <row r="100" spans="2:21" x14ac:dyDescent="0.25">
      <c r="B100" s="490" t="s">
        <v>303</v>
      </c>
      <c r="C100" s="490"/>
      <c r="D100" s="490"/>
      <c r="E100" s="490"/>
      <c r="F100" s="490"/>
      <c r="G100" s="490"/>
      <c r="H100" s="490"/>
      <c r="I100" s="490"/>
      <c r="J100" s="490"/>
      <c r="L100" s="242"/>
      <c r="P100" s="214"/>
      <c r="Q100" s="214"/>
      <c r="R100" s="214"/>
      <c r="S100" s="214"/>
      <c r="T100" s="214"/>
    </row>
    <row r="101" spans="2:21" x14ac:dyDescent="0.25">
      <c r="B101" s="256"/>
      <c r="C101" s="256"/>
      <c r="D101" s="256"/>
      <c r="E101" s="256"/>
      <c r="L101" s="242"/>
      <c r="P101" s="214"/>
      <c r="Q101" s="214"/>
      <c r="R101" s="214"/>
      <c r="S101" s="214"/>
      <c r="T101" s="214"/>
    </row>
    <row r="102" spans="2:21" ht="31.5" x14ac:dyDescent="0.25">
      <c r="B102" s="256"/>
      <c r="C102" s="256"/>
      <c r="D102" s="256"/>
      <c r="E102" s="227"/>
      <c r="F102" s="239" t="str">
        <f>F92</f>
        <v>Médico</v>
      </c>
      <c r="G102" s="239">
        <f>G92</f>
        <v>0.06</v>
      </c>
      <c r="H102" s="239" t="str">
        <f>H92</f>
        <v>q</v>
      </c>
      <c r="I102" s="239">
        <f>I92</f>
        <v>0.02</v>
      </c>
      <c r="J102" s="239" t="s">
        <v>246</v>
      </c>
      <c r="L102" s="242"/>
      <c r="P102" s="214"/>
      <c r="Q102" s="214"/>
      <c r="R102" s="214"/>
      <c r="S102" s="214"/>
      <c r="T102" s="214"/>
    </row>
    <row r="103" spans="2:21" ht="16.5" customHeight="1" x14ac:dyDescent="0.25">
      <c r="B103" s="257">
        <v>3</v>
      </c>
      <c r="C103" s="491" t="s">
        <v>304</v>
      </c>
      <c r="D103" s="491"/>
      <c r="E103" s="250"/>
      <c r="F103" s="250" t="s">
        <v>263</v>
      </c>
      <c r="G103" s="250" t="s">
        <v>263</v>
      </c>
      <c r="H103" s="250" t="s">
        <v>263</v>
      </c>
      <c r="I103" s="250" t="s">
        <v>263</v>
      </c>
      <c r="J103" s="250" t="s">
        <v>263</v>
      </c>
      <c r="L103" s="242"/>
      <c r="P103" s="214"/>
      <c r="Q103" s="214"/>
      <c r="R103" s="214"/>
      <c r="S103" s="214"/>
      <c r="T103" s="214"/>
      <c r="U103" s="214"/>
    </row>
    <row r="104" spans="2:21" ht="16.5" customHeight="1" x14ac:dyDescent="0.25">
      <c r="B104" s="258" t="s">
        <v>227</v>
      </c>
      <c r="C104" s="492" t="s">
        <v>305</v>
      </c>
      <c r="D104" s="492"/>
      <c r="E104" s="251"/>
      <c r="F104" s="251">
        <f>(F46/12)*0.05</f>
        <v>17.5</v>
      </c>
      <c r="G104" s="251" t="e">
        <f>(G46/12)*0.05</f>
        <v>#VALUE!</v>
      </c>
      <c r="H104" s="251" t="e">
        <f>(H46/12)*0.05</f>
        <v>#VALUE!</v>
      </c>
      <c r="I104" s="251" t="e">
        <f>(I46/12)*0.05</f>
        <v>#VALUE!</v>
      </c>
      <c r="J104" s="251" t="e">
        <f>(J46/12)*0.05</f>
        <v>#VALUE!</v>
      </c>
      <c r="K104" s="259"/>
      <c r="L104" s="260"/>
      <c r="P104" s="214"/>
      <c r="Q104" s="214"/>
      <c r="R104" s="214"/>
      <c r="S104" s="214"/>
      <c r="T104" s="214"/>
      <c r="U104" s="214"/>
    </row>
    <row r="105" spans="2:21" ht="16.5" customHeight="1" x14ac:dyDescent="0.25">
      <c r="B105" s="258" t="s">
        <v>229</v>
      </c>
      <c r="C105" s="492" t="s">
        <v>306</v>
      </c>
      <c r="D105" s="492"/>
      <c r="E105" s="251"/>
      <c r="F105" s="251">
        <f>F104*8%</f>
        <v>1.4000000000000001</v>
      </c>
      <c r="G105" s="251" t="e">
        <f>G104*8%</f>
        <v>#VALUE!</v>
      </c>
      <c r="H105" s="251" t="e">
        <f>H104*8%</f>
        <v>#VALUE!</v>
      </c>
      <c r="I105" s="251" t="e">
        <f>I104*8%</f>
        <v>#VALUE!</v>
      </c>
      <c r="J105" s="251" t="e">
        <f>J104*8%</f>
        <v>#VALUE!</v>
      </c>
      <c r="L105" s="242"/>
      <c r="P105" s="214"/>
      <c r="Q105" s="214"/>
      <c r="R105" s="214"/>
      <c r="S105" s="214"/>
      <c r="T105" s="214"/>
      <c r="U105" s="214"/>
    </row>
    <row r="106" spans="2:21" ht="30.75" customHeight="1" x14ac:dyDescent="0.25">
      <c r="B106" s="258" t="s">
        <v>232</v>
      </c>
      <c r="C106" s="492" t="s">
        <v>307</v>
      </c>
      <c r="D106" s="492"/>
      <c r="E106" s="261"/>
      <c r="F106" s="261"/>
      <c r="G106" s="261"/>
      <c r="H106" s="261"/>
      <c r="I106" s="261"/>
      <c r="J106" s="261"/>
      <c r="L106" s="242"/>
      <c r="P106" s="214"/>
      <c r="Q106" s="214"/>
      <c r="R106" s="214"/>
      <c r="S106" s="214"/>
      <c r="T106" s="214"/>
      <c r="U106" s="214"/>
    </row>
    <row r="107" spans="2:21" ht="16.5" customHeight="1" x14ac:dyDescent="0.25">
      <c r="B107" s="258" t="s">
        <v>234</v>
      </c>
      <c r="C107" s="492" t="s">
        <v>308</v>
      </c>
      <c r="D107" s="492"/>
      <c r="E107" s="251"/>
      <c r="F107" s="251">
        <f>(((F46/30)/12)*7)*95%</f>
        <v>77.583333333333314</v>
      </c>
      <c r="G107" s="251" t="e">
        <f>(((G46/30)/12)*7)*95%</f>
        <v>#VALUE!</v>
      </c>
      <c r="H107" s="251" t="e">
        <f>(((H46/30)/12)*7)*95%</f>
        <v>#VALUE!</v>
      </c>
      <c r="I107" s="251" t="e">
        <f>(((I46/30)/12)*7)*95%</f>
        <v>#VALUE!</v>
      </c>
      <c r="J107" s="251" t="e">
        <f>(((J46/30)/12)*7)*95%</f>
        <v>#VALUE!</v>
      </c>
      <c r="L107" s="242"/>
      <c r="P107" s="214"/>
      <c r="Q107" s="214"/>
      <c r="R107" s="214"/>
      <c r="S107" s="214"/>
      <c r="T107" s="214"/>
      <c r="U107" s="214"/>
    </row>
    <row r="108" spans="2:21" ht="30.75" customHeight="1" x14ac:dyDescent="0.25">
      <c r="B108" s="258" t="s">
        <v>267</v>
      </c>
      <c r="C108" s="492" t="s">
        <v>309</v>
      </c>
      <c r="D108" s="492"/>
      <c r="E108" s="251"/>
      <c r="F108" s="251">
        <f>F107*$D$72</f>
        <v>28.162749999999996</v>
      </c>
      <c r="G108" s="251" t="e">
        <f>G107*$D$72</f>
        <v>#VALUE!</v>
      </c>
      <c r="H108" s="251" t="e">
        <f>H107*$D$72</f>
        <v>#VALUE!</v>
      </c>
      <c r="I108" s="251" t="e">
        <f>I107*$D$72</f>
        <v>#VALUE!</v>
      </c>
      <c r="J108" s="251" t="e">
        <f>J107*$D$72</f>
        <v>#VALUE!</v>
      </c>
      <c r="L108" s="242"/>
      <c r="P108" s="214"/>
      <c r="Q108" s="214"/>
      <c r="R108" s="214"/>
      <c r="S108" s="214"/>
      <c r="T108" s="214"/>
      <c r="U108" s="214"/>
    </row>
    <row r="109" spans="2:21" ht="30.75" customHeight="1" x14ac:dyDescent="0.25">
      <c r="B109" s="258" t="s">
        <v>269</v>
      </c>
      <c r="C109" s="492" t="s">
        <v>310</v>
      </c>
      <c r="D109" s="492"/>
      <c r="E109" s="251"/>
      <c r="F109" s="251">
        <f>5%*F46</f>
        <v>210</v>
      </c>
      <c r="G109" s="251" t="e">
        <f>5%*G46</f>
        <v>#VALUE!</v>
      </c>
      <c r="H109" s="251" t="e">
        <f>5%*H46</f>
        <v>#VALUE!</v>
      </c>
      <c r="I109" s="251" t="e">
        <f>5%*I46</f>
        <v>#VALUE!</v>
      </c>
      <c r="J109" s="251" t="e">
        <f>5%*J46</f>
        <v>#VALUE!</v>
      </c>
      <c r="L109" s="262"/>
      <c r="P109" s="214"/>
      <c r="Q109" s="214"/>
      <c r="R109" s="214"/>
      <c r="S109" s="214"/>
      <c r="T109" s="214"/>
      <c r="U109" s="214"/>
    </row>
    <row r="110" spans="2:21" ht="16.5" customHeight="1" x14ac:dyDescent="0.25">
      <c r="B110" s="491" t="s">
        <v>44</v>
      </c>
      <c r="C110" s="491"/>
      <c r="D110" s="491"/>
      <c r="E110" s="263"/>
      <c r="F110" s="263">
        <f>SUM(F104:F109)</f>
        <v>334.64608333333331</v>
      </c>
      <c r="G110" s="263" t="e">
        <f>SUM(G104:G109)</f>
        <v>#VALUE!</v>
      </c>
      <c r="H110" s="263" t="e">
        <f>SUM(H104:H109)</f>
        <v>#VALUE!</v>
      </c>
      <c r="I110" s="263" t="e">
        <f>SUM(I104:I109)</f>
        <v>#VALUE!</v>
      </c>
      <c r="J110" s="263" t="e">
        <f>SUM(J104:J109)</f>
        <v>#VALUE!</v>
      </c>
      <c r="L110" s="242"/>
      <c r="P110" s="214"/>
      <c r="Q110" s="214"/>
      <c r="R110" s="214"/>
      <c r="S110" s="214"/>
      <c r="T110" s="214"/>
      <c r="U110" s="214"/>
    </row>
    <row r="111" spans="2:21" x14ac:dyDescent="0.25">
      <c r="L111" s="242"/>
      <c r="P111" s="214"/>
      <c r="Q111" s="214"/>
      <c r="R111" s="214"/>
      <c r="S111" s="214"/>
      <c r="T111" s="214"/>
    </row>
    <row r="112" spans="2:21" x14ac:dyDescent="0.25">
      <c r="B112" s="490" t="s">
        <v>311</v>
      </c>
      <c r="C112" s="490"/>
      <c r="D112" s="490"/>
      <c r="E112" s="490"/>
      <c r="F112" s="490"/>
      <c r="G112" s="490"/>
      <c r="H112" s="490"/>
      <c r="I112" s="490"/>
      <c r="J112" s="490"/>
      <c r="K112" s="213"/>
      <c r="L112" s="264" t="s">
        <v>438</v>
      </c>
      <c r="P112" s="214"/>
      <c r="Q112" s="214"/>
      <c r="R112" s="214"/>
      <c r="S112" s="214"/>
      <c r="T112" s="214"/>
    </row>
    <row r="113" spans="2:21" x14ac:dyDescent="0.25">
      <c r="B113" s="256"/>
      <c r="C113" s="256"/>
      <c r="D113" s="256"/>
      <c r="E113" s="256"/>
      <c r="F113" s="264"/>
      <c r="G113" s="264"/>
      <c r="H113" s="264"/>
      <c r="I113" s="264"/>
      <c r="J113" s="264"/>
      <c r="K113" s="264"/>
      <c r="L113" s="242"/>
      <c r="P113" s="214"/>
      <c r="Q113" s="214"/>
      <c r="R113" s="214"/>
      <c r="S113" s="214"/>
      <c r="T113" s="214"/>
    </row>
    <row r="114" spans="2:21" x14ac:dyDescent="0.25">
      <c r="B114" s="493" t="s">
        <v>313</v>
      </c>
      <c r="C114" s="493"/>
      <c r="D114" s="493"/>
      <c r="E114" s="493"/>
      <c r="F114" s="493"/>
      <c r="G114" s="493"/>
      <c r="H114" s="493"/>
      <c r="I114" s="493"/>
      <c r="J114" s="493"/>
      <c r="K114" s="264"/>
      <c r="L114" s="242"/>
      <c r="P114" s="214"/>
      <c r="Q114" s="214"/>
      <c r="R114" s="214"/>
      <c r="S114" s="214"/>
      <c r="T114" s="214"/>
    </row>
    <row r="115" spans="2:21" x14ac:dyDescent="0.25">
      <c r="B115" s="266"/>
      <c r="C115" s="494"/>
      <c r="D115" s="494"/>
      <c r="E115" s="256"/>
      <c r="F115" s="264"/>
      <c r="G115" s="264"/>
      <c r="H115" s="264"/>
      <c r="I115" s="264"/>
      <c r="J115" s="264"/>
      <c r="K115" s="264"/>
      <c r="L115" s="242"/>
      <c r="P115" s="214"/>
      <c r="Q115" s="214"/>
      <c r="R115" s="214"/>
      <c r="S115" s="214"/>
      <c r="T115" s="214"/>
    </row>
    <row r="116" spans="2:21" ht="31.5" x14ac:dyDescent="0.25">
      <c r="B116" s="266"/>
      <c r="C116" s="268"/>
      <c r="D116" s="268"/>
      <c r="E116" s="227"/>
      <c r="F116" s="239" t="str">
        <f>F102</f>
        <v>Médico</v>
      </c>
      <c r="G116" s="239">
        <f>G102</f>
        <v>0.06</v>
      </c>
      <c r="H116" s="239" t="str">
        <f>H102</f>
        <v>q</v>
      </c>
      <c r="I116" s="239">
        <f>I102</f>
        <v>0.02</v>
      </c>
      <c r="J116" s="239" t="s">
        <v>246</v>
      </c>
      <c r="K116" s="264"/>
      <c r="L116" s="242"/>
      <c r="P116" s="214"/>
      <c r="Q116" s="214"/>
      <c r="R116" s="214"/>
      <c r="S116" s="214"/>
      <c r="T116" s="214"/>
    </row>
    <row r="117" spans="2:21" ht="16.5" customHeight="1" x14ac:dyDescent="0.25">
      <c r="B117" s="257" t="s">
        <v>314</v>
      </c>
      <c r="C117" s="491" t="s">
        <v>315</v>
      </c>
      <c r="D117" s="491"/>
      <c r="E117" s="250"/>
      <c r="F117" s="250" t="s">
        <v>263</v>
      </c>
      <c r="G117" s="250" t="s">
        <v>263</v>
      </c>
      <c r="H117" s="250" t="s">
        <v>263</v>
      </c>
      <c r="I117" s="250" t="s">
        <v>263</v>
      </c>
      <c r="J117" s="250" t="s">
        <v>263</v>
      </c>
      <c r="K117" s="264"/>
      <c r="L117" s="242"/>
      <c r="P117" s="214"/>
      <c r="Q117" s="214"/>
      <c r="R117" s="214"/>
      <c r="S117" s="214"/>
      <c r="T117" s="214"/>
      <c r="U117" s="214"/>
    </row>
    <row r="118" spans="2:21" ht="16.5" customHeight="1" x14ac:dyDescent="0.25">
      <c r="B118" s="258" t="s">
        <v>227</v>
      </c>
      <c r="C118" s="507" t="s">
        <v>384</v>
      </c>
      <c r="D118" s="507"/>
      <c r="E118" s="251"/>
      <c r="F118" s="251"/>
      <c r="G118" s="251"/>
      <c r="H118" s="251"/>
      <c r="I118" s="251"/>
      <c r="J118" s="251"/>
      <c r="K118" s="264"/>
      <c r="L118" s="242"/>
      <c r="N118" s="254"/>
      <c r="P118" s="214"/>
      <c r="Q118" s="214"/>
      <c r="R118" s="214"/>
      <c r="S118" s="214"/>
      <c r="T118" s="214"/>
      <c r="U118" s="214"/>
    </row>
    <row r="119" spans="2:21" x14ac:dyDescent="0.25">
      <c r="B119" s="258" t="s">
        <v>229</v>
      </c>
      <c r="C119" s="442" t="s">
        <v>385</v>
      </c>
      <c r="D119" s="443"/>
      <c r="E119" s="251"/>
      <c r="F119" s="251">
        <f>0.28%*F46</f>
        <v>11.760000000000002</v>
      </c>
      <c r="G119" s="251" t="e">
        <f>(((G46/30)/12)*1)</f>
        <v>#VALUE!</v>
      </c>
      <c r="H119" s="251" t="e">
        <f>(((H46/30)/12)*1)</f>
        <v>#VALUE!</v>
      </c>
      <c r="I119" s="251" t="e">
        <f>(((I46/30)/12)*1)</f>
        <v>#VALUE!</v>
      </c>
      <c r="J119" s="251" t="e">
        <f>(((J46/30)/12)*1)</f>
        <v>#VALUE!</v>
      </c>
      <c r="K119" s="264"/>
      <c r="L119" s="264" t="s">
        <v>439</v>
      </c>
      <c r="P119" s="214"/>
      <c r="Q119" s="214"/>
      <c r="R119" s="214"/>
      <c r="S119" s="214"/>
      <c r="T119" s="214"/>
      <c r="U119" s="214"/>
    </row>
    <row r="120" spans="2:21" x14ac:dyDescent="0.25">
      <c r="B120" s="258" t="s">
        <v>232</v>
      </c>
      <c r="C120" s="442" t="s">
        <v>386</v>
      </c>
      <c r="D120" s="443"/>
      <c r="E120" s="251"/>
      <c r="F120" s="251">
        <f>0.02%*F46</f>
        <v>0.84000000000000008</v>
      </c>
      <c r="G120" s="251" t="e">
        <f>(((G46/30)/12)*15)*0.0922</f>
        <v>#VALUE!</v>
      </c>
      <c r="H120" s="251" t="e">
        <f>(((H46/30)/12)*15)*0.0922</f>
        <v>#VALUE!</v>
      </c>
      <c r="I120" s="251" t="e">
        <f>(((I46/30)/12)*15)*0.0922</f>
        <v>#VALUE!</v>
      </c>
      <c r="J120" s="251" t="e">
        <f>(((J46/30)/12)*15)*0.0922</f>
        <v>#VALUE!</v>
      </c>
      <c r="K120" s="264"/>
      <c r="L120" s="264" t="s">
        <v>439</v>
      </c>
      <c r="P120" s="214"/>
      <c r="Q120" s="214"/>
      <c r="R120" s="214"/>
      <c r="S120" s="214"/>
      <c r="T120" s="214"/>
      <c r="U120" s="214"/>
    </row>
    <row r="121" spans="2:21" ht="16.5" customHeight="1" x14ac:dyDescent="0.25">
      <c r="B121" s="258" t="s">
        <v>234</v>
      </c>
      <c r="C121" s="508" t="s">
        <v>387</v>
      </c>
      <c r="D121" s="508"/>
      <c r="E121" s="251"/>
      <c r="F121" s="251">
        <f>0.03%*F46</f>
        <v>1.2599999999999998</v>
      </c>
      <c r="G121" s="251" t="e">
        <f>(((G46/30)/12)*5)</f>
        <v>#VALUE!</v>
      </c>
      <c r="H121" s="251" t="e">
        <f>(((H46/30)/12)*5)</f>
        <v>#VALUE!</v>
      </c>
      <c r="I121" s="251" t="e">
        <f>(((I46/30)/12)*5)</f>
        <v>#VALUE!</v>
      </c>
      <c r="J121" s="251" t="e">
        <f>(((J46/30)/12)*5)</f>
        <v>#VALUE!</v>
      </c>
      <c r="K121" s="264"/>
      <c r="L121" s="264" t="s">
        <v>439</v>
      </c>
      <c r="P121" s="214"/>
      <c r="Q121" s="214"/>
      <c r="R121" s="214"/>
      <c r="S121" s="214"/>
      <c r="T121" s="214"/>
      <c r="U121" s="214"/>
    </row>
    <row r="122" spans="2:21" ht="16.5" customHeight="1" x14ac:dyDescent="0.25">
      <c r="B122" s="258" t="s">
        <v>269</v>
      </c>
      <c r="C122" s="508" t="s">
        <v>388</v>
      </c>
      <c r="D122" s="508"/>
      <c r="E122" s="251"/>
      <c r="F122" s="251"/>
      <c r="G122" s="251" t="e">
        <f>(((G46/30)/12)*2)*0.1522</f>
        <v>#VALUE!</v>
      </c>
      <c r="H122" s="251" t="e">
        <f>(((H46/30)/12)*2)*0.1522</f>
        <v>#VALUE!</v>
      </c>
      <c r="I122" s="251" t="e">
        <f>(((I46/30)/12)*2)*0.1522</f>
        <v>#VALUE!</v>
      </c>
      <c r="J122" s="251" t="e">
        <f>(((J46/30)/12)*2)*0.1522</f>
        <v>#VALUE!</v>
      </c>
      <c r="K122" s="264"/>
      <c r="L122" s="264" t="s">
        <v>439</v>
      </c>
      <c r="P122" s="214"/>
      <c r="Q122" s="214"/>
      <c r="R122" s="214"/>
      <c r="S122" s="214"/>
      <c r="T122" s="214"/>
      <c r="U122" s="214"/>
    </row>
    <row r="123" spans="2:21" ht="16.5" customHeight="1" x14ac:dyDescent="0.25">
      <c r="B123" s="258" t="s">
        <v>270</v>
      </c>
      <c r="C123" s="508" t="s">
        <v>389</v>
      </c>
      <c r="D123" s="508"/>
      <c r="E123" s="251"/>
      <c r="F123" s="251">
        <f>1.66%*F46</f>
        <v>69.72</v>
      </c>
      <c r="G123" s="251"/>
      <c r="H123" s="251"/>
      <c r="I123" s="251"/>
      <c r="J123" s="251"/>
      <c r="K123" s="264"/>
      <c r="L123" s="264"/>
      <c r="P123" s="214"/>
      <c r="Q123" s="214"/>
      <c r="R123" s="214"/>
      <c r="S123" s="214"/>
      <c r="T123" s="214"/>
      <c r="U123" s="214"/>
    </row>
    <row r="124" spans="2:21" ht="42.75" customHeight="1" x14ac:dyDescent="0.25">
      <c r="B124" s="271" t="s">
        <v>321</v>
      </c>
      <c r="C124" s="496" t="s">
        <v>322</v>
      </c>
      <c r="D124" s="496"/>
      <c r="E124" s="272"/>
      <c r="F124" s="272">
        <f>SUM(F118:F123)*$D$72</f>
        <v>30.339540000000003</v>
      </c>
      <c r="G124" s="272" t="e">
        <f>SUM(G118:G122)*$D$72</f>
        <v>#VALUE!</v>
      </c>
      <c r="H124" s="272" t="e">
        <f>SUM(H118:H122)*$D$72</f>
        <v>#VALUE!</v>
      </c>
      <c r="I124" s="272" t="e">
        <f>SUM(I118:I122)*$D$72</f>
        <v>#VALUE!</v>
      </c>
      <c r="J124" s="272" t="e">
        <f>SUM(J118:J122)*$D$72</f>
        <v>#VALUE!</v>
      </c>
      <c r="K124" s="264"/>
      <c r="L124" s="242"/>
      <c r="P124" s="214"/>
      <c r="Q124" s="214"/>
      <c r="R124" s="214"/>
      <c r="S124" s="214"/>
      <c r="T124" s="214"/>
      <c r="U124" s="214"/>
    </row>
    <row r="125" spans="2:21" ht="16.5" customHeight="1" x14ac:dyDescent="0.25">
      <c r="B125" s="491" t="s">
        <v>288</v>
      </c>
      <c r="C125" s="491"/>
      <c r="D125" s="491"/>
      <c r="E125" s="263"/>
      <c r="F125" s="263">
        <f>SUM(F118:F124)</f>
        <v>113.91954</v>
      </c>
      <c r="G125" s="263" t="e">
        <f>SUM(G118:G124)</f>
        <v>#VALUE!</v>
      </c>
      <c r="H125" s="263" t="e">
        <f>SUM(H118:H124)</f>
        <v>#VALUE!</v>
      </c>
      <c r="I125" s="263" t="e">
        <f>SUM(I118:I124)</f>
        <v>#VALUE!</v>
      </c>
      <c r="J125" s="263" t="e">
        <f>SUM(J118:J124)</f>
        <v>#VALUE!</v>
      </c>
      <c r="K125" s="264"/>
      <c r="L125" s="242"/>
      <c r="P125" s="214"/>
      <c r="Q125" s="214"/>
      <c r="R125" s="214"/>
      <c r="S125" s="214"/>
      <c r="T125" s="214"/>
      <c r="U125" s="214"/>
    </row>
    <row r="126" spans="2:21" x14ac:dyDescent="0.25">
      <c r="F126" s="264"/>
      <c r="G126" s="264"/>
      <c r="H126" s="264"/>
      <c r="I126" s="264"/>
      <c r="J126" s="264"/>
      <c r="K126" s="264"/>
      <c r="L126" s="242"/>
      <c r="P126" s="214"/>
      <c r="Q126" s="214"/>
      <c r="R126" s="214"/>
      <c r="S126" s="214"/>
      <c r="T126" s="214"/>
    </row>
    <row r="127" spans="2:21" x14ac:dyDescent="0.25">
      <c r="B127" s="493" t="s">
        <v>390</v>
      </c>
      <c r="C127" s="493"/>
      <c r="D127" s="493"/>
      <c r="E127" s="493"/>
      <c r="F127" s="493"/>
      <c r="G127" s="493"/>
      <c r="H127" s="493"/>
      <c r="I127" s="493"/>
      <c r="J127" s="493"/>
      <c r="K127" s="264"/>
      <c r="L127" s="242"/>
      <c r="P127" s="214"/>
      <c r="Q127" s="214"/>
      <c r="R127" s="214"/>
      <c r="S127" s="214"/>
      <c r="T127" s="214"/>
    </row>
    <row r="128" spans="2:21" x14ac:dyDescent="0.25">
      <c r="B128" s="266"/>
      <c r="C128" s="256"/>
      <c r="D128" s="256"/>
      <c r="E128" s="256"/>
      <c r="K128" s="264"/>
      <c r="L128" s="242"/>
      <c r="P128" s="214"/>
      <c r="Q128" s="214"/>
      <c r="R128" s="214"/>
      <c r="S128" s="214"/>
      <c r="T128" s="214"/>
    </row>
    <row r="129" spans="2:21" ht="31.5" x14ac:dyDescent="0.25">
      <c r="B129" s="266"/>
      <c r="C129" s="256"/>
      <c r="D129" s="256"/>
      <c r="E129" s="227"/>
      <c r="F129" s="239" t="str">
        <f>F116</f>
        <v>Médico</v>
      </c>
      <c r="G129" s="239">
        <f>G99</f>
        <v>0</v>
      </c>
      <c r="H129" s="239">
        <f>H99</f>
        <v>0</v>
      </c>
      <c r="I129" s="239">
        <f>I99</f>
        <v>0</v>
      </c>
      <c r="J129" s="239" t="s">
        <v>246</v>
      </c>
      <c r="K129" s="264"/>
      <c r="L129" s="242"/>
      <c r="P129" s="214"/>
      <c r="Q129" s="214"/>
      <c r="R129" s="214"/>
      <c r="S129" s="214"/>
      <c r="T129" s="214"/>
    </row>
    <row r="130" spans="2:21" ht="16.5" customHeight="1" x14ac:dyDescent="0.25">
      <c r="B130" s="257" t="s">
        <v>324</v>
      </c>
      <c r="C130" s="491" t="s">
        <v>391</v>
      </c>
      <c r="D130" s="491"/>
      <c r="E130" s="250"/>
      <c r="F130" s="250" t="s">
        <v>263</v>
      </c>
      <c r="G130" s="250" t="s">
        <v>263</v>
      </c>
      <c r="H130" s="250" t="s">
        <v>263</v>
      </c>
      <c r="I130" s="250" t="s">
        <v>263</v>
      </c>
      <c r="J130" s="250" t="s">
        <v>263</v>
      </c>
      <c r="K130" s="264"/>
      <c r="L130" s="242"/>
      <c r="P130" s="214"/>
      <c r="Q130" s="214"/>
      <c r="R130" s="214"/>
      <c r="S130" s="214"/>
      <c r="T130" s="214"/>
    </row>
    <row r="131" spans="2:21" x14ac:dyDescent="0.25">
      <c r="B131" s="372"/>
      <c r="C131" s="444"/>
      <c r="D131" s="250"/>
      <c r="E131" s="445"/>
      <c r="F131" s="445"/>
      <c r="G131" s="445"/>
      <c r="H131" s="445"/>
      <c r="I131" s="445"/>
      <c r="J131" s="445"/>
      <c r="K131" s="264"/>
      <c r="L131" s="242"/>
      <c r="P131" s="214"/>
      <c r="Q131" s="214"/>
      <c r="R131" s="214"/>
      <c r="S131" s="214"/>
      <c r="T131" s="214"/>
    </row>
    <row r="132" spans="2:21" x14ac:dyDescent="0.25">
      <c r="B132" s="372"/>
      <c r="C132" s="444"/>
      <c r="D132" s="250"/>
      <c r="E132" s="445"/>
      <c r="F132" s="445"/>
      <c r="G132" s="445"/>
      <c r="H132" s="445"/>
      <c r="I132" s="445"/>
      <c r="J132" s="445"/>
      <c r="K132" s="264"/>
      <c r="L132" s="242"/>
      <c r="P132" s="214"/>
      <c r="Q132" s="214"/>
      <c r="R132" s="214"/>
      <c r="S132" s="214"/>
      <c r="T132" s="214"/>
    </row>
    <row r="133" spans="2:21" ht="16.5" customHeight="1" x14ac:dyDescent="0.25">
      <c r="B133" s="258" t="s">
        <v>227</v>
      </c>
      <c r="C133" s="495" t="s">
        <v>395</v>
      </c>
      <c r="D133" s="495"/>
      <c r="E133" s="261"/>
      <c r="F133" s="261"/>
      <c r="G133" s="261"/>
      <c r="H133" s="261"/>
      <c r="I133" s="261"/>
      <c r="J133" s="261"/>
      <c r="K133" s="264"/>
      <c r="L133" s="242"/>
      <c r="P133" s="214"/>
      <c r="Q133" s="214"/>
      <c r="R133" s="214"/>
      <c r="S133" s="214"/>
      <c r="T133" s="214"/>
    </row>
    <row r="134" spans="2:21" ht="16.5" customHeight="1" x14ac:dyDescent="0.25">
      <c r="B134" s="491" t="s">
        <v>44</v>
      </c>
      <c r="C134" s="491"/>
      <c r="D134" s="491"/>
      <c r="E134" s="261"/>
      <c r="F134" s="261">
        <f>SUM(F133)</f>
        <v>0</v>
      </c>
      <c r="G134" s="261">
        <f>SUM(G133)</f>
        <v>0</v>
      </c>
      <c r="H134" s="261">
        <f>SUM(H133)</f>
        <v>0</v>
      </c>
      <c r="I134" s="261">
        <f>SUM(I133)</f>
        <v>0</v>
      </c>
      <c r="J134" s="261">
        <f>SUM(J133)</f>
        <v>0</v>
      </c>
      <c r="K134" s="264"/>
      <c r="L134" s="242"/>
      <c r="P134" s="214"/>
      <c r="Q134" s="214"/>
      <c r="R134" s="214"/>
      <c r="S134" s="214"/>
      <c r="T134" s="214"/>
    </row>
    <row r="135" spans="2:21" x14ac:dyDescent="0.25">
      <c r="F135" s="264"/>
      <c r="G135" s="264"/>
      <c r="H135" s="264"/>
      <c r="I135" s="264"/>
      <c r="J135" s="264"/>
      <c r="K135" s="264"/>
      <c r="L135" s="242"/>
      <c r="P135" s="214"/>
      <c r="Q135" s="214"/>
      <c r="R135" s="214"/>
      <c r="S135" s="214"/>
      <c r="T135" s="214"/>
    </row>
    <row r="136" spans="2:21" x14ac:dyDescent="0.25">
      <c r="F136" s="264"/>
      <c r="G136" s="264"/>
      <c r="H136" s="264"/>
      <c r="I136" s="264"/>
      <c r="J136" s="264"/>
      <c r="K136" s="264"/>
      <c r="L136" s="242"/>
      <c r="P136" s="214"/>
      <c r="Q136" s="214"/>
      <c r="R136" s="214"/>
      <c r="S136" s="214"/>
      <c r="T136" s="214"/>
    </row>
    <row r="137" spans="2:21" x14ac:dyDescent="0.25">
      <c r="F137" s="264"/>
      <c r="G137" s="264"/>
      <c r="H137" s="264"/>
      <c r="I137" s="264"/>
      <c r="J137" s="264"/>
      <c r="K137" s="264"/>
      <c r="L137" s="242"/>
      <c r="P137" s="214"/>
      <c r="Q137" s="214"/>
      <c r="R137" s="214"/>
      <c r="S137" s="214"/>
      <c r="T137" s="214"/>
    </row>
    <row r="138" spans="2:21" x14ac:dyDescent="0.25">
      <c r="B138" s="493" t="s">
        <v>323</v>
      </c>
      <c r="C138" s="493"/>
      <c r="D138" s="493"/>
      <c r="E138" s="493"/>
      <c r="F138" s="493"/>
      <c r="G138" s="493"/>
      <c r="H138" s="493"/>
      <c r="I138" s="493"/>
      <c r="J138" s="493"/>
      <c r="L138" s="242"/>
      <c r="P138" s="214"/>
      <c r="Q138" s="214"/>
      <c r="R138" s="214"/>
      <c r="S138" s="214"/>
      <c r="T138" s="214"/>
    </row>
    <row r="139" spans="2:21" x14ac:dyDescent="0.25">
      <c r="B139" s="266"/>
      <c r="C139" s="256"/>
      <c r="D139" s="256"/>
      <c r="E139" s="256"/>
      <c r="L139" s="242"/>
      <c r="P139" s="214"/>
      <c r="Q139" s="214"/>
      <c r="R139" s="214"/>
      <c r="S139" s="214"/>
      <c r="T139" s="214"/>
    </row>
    <row r="140" spans="2:21" ht="31.5" x14ac:dyDescent="0.25">
      <c r="B140" s="266"/>
      <c r="C140" s="256"/>
      <c r="D140" s="256"/>
      <c r="E140" s="227"/>
      <c r="F140" s="239" t="str">
        <f>F116</f>
        <v>Médico</v>
      </c>
      <c r="G140" s="239">
        <f>G116</f>
        <v>0.06</v>
      </c>
      <c r="H140" s="239" t="str">
        <f>H116</f>
        <v>q</v>
      </c>
      <c r="I140" s="239">
        <f>I116</f>
        <v>0.02</v>
      </c>
      <c r="J140" s="239" t="s">
        <v>246</v>
      </c>
      <c r="L140" s="242"/>
      <c r="P140" s="214"/>
      <c r="Q140" s="214"/>
      <c r="R140" s="214"/>
      <c r="S140" s="214"/>
      <c r="T140" s="214"/>
    </row>
    <row r="141" spans="2:21" ht="16.5" customHeight="1" x14ac:dyDescent="0.25">
      <c r="B141" s="257" t="s">
        <v>324</v>
      </c>
      <c r="C141" s="491" t="s">
        <v>325</v>
      </c>
      <c r="D141" s="491"/>
      <c r="E141" s="250"/>
      <c r="F141" s="250" t="s">
        <v>263</v>
      </c>
      <c r="G141" s="250" t="s">
        <v>263</v>
      </c>
      <c r="H141" s="250" t="s">
        <v>263</v>
      </c>
      <c r="I141" s="250" t="s">
        <v>263</v>
      </c>
      <c r="J141" s="250" t="s">
        <v>263</v>
      </c>
      <c r="L141" s="242"/>
      <c r="P141" s="214"/>
      <c r="Q141" s="214"/>
      <c r="R141" s="214"/>
      <c r="S141" s="214"/>
      <c r="T141" s="214"/>
      <c r="U141" s="214"/>
    </row>
    <row r="142" spans="2:21" ht="16.5" customHeight="1" x14ac:dyDescent="0.25">
      <c r="B142" s="258" t="s">
        <v>227</v>
      </c>
      <c r="C142" s="495" t="s">
        <v>395</v>
      </c>
      <c r="D142" s="495"/>
      <c r="E142" s="261"/>
      <c r="F142" s="261"/>
      <c r="G142" s="261"/>
      <c r="H142" s="261"/>
      <c r="I142" s="261"/>
      <c r="J142" s="261"/>
      <c r="L142" s="242"/>
      <c r="P142" s="214"/>
      <c r="Q142" s="214"/>
      <c r="R142" s="214"/>
      <c r="S142" s="214"/>
      <c r="T142" s="214"/>
      <c r="U142" s="214"/>
    </row>
    <row r="143" spans="2:21" ht="16.5" customHeight="1" x14ac:dyDescent="0.25">
      <c r="B143" s="491" t="s">
        <v>44</v>
      </c>
      <c r="C143" s="491"/>
      <c r="D143" s="491"/>
      <c r="E143" s="261"/>
      <c r="F143" s="261">
        <f>SUM(F142)</f>
        <v>0</v>
      </c>
      <c r="G143" s="261">
        <f>SUM(G142)</f>
        <v>0</v>
      </c>
      <c r="H143" s="261">
        <f>SUM(H142)</f>
        <v>0</v>
      </c>
      <c r="I143" s="261">
        <f>SUM(I142)</f>
        <v>0</v>
      </c>
      <c r="J143" s="261">
        <f>SUM(J142)</f>
        <v>0</v>
      </c>
      <c r="L143" s="242"/>
      <c r="P143" s="214"/>
      <c r="Q143" s="214"/>
      <c r="R143" s="214"/>
      <c r="S143" s="214"/>
      <c r="T143" s="214"/>
      <c r="U143" s="214"/>
    </row>
    <row r="144" spans="2:21" x14ac:dyDescent="0.25">
      <c r="B144" s="273"/>
      <c r="C144" s="273"/>
      <c r="D144" s="273"/>
      <c r="E144" s="273"/>
      <c r="L144" s="242"/>
      <c r="P144" s="214"/>
      <c r="Q144" s="214"/>
      <c r="R144" s="214"/>
      <c r="S144" s="214"/>
      <c r="T144" s="214"/>
    </row>
    <row r="145" spans="2:21" x14ac:dyDescent="0.25">
      <c r="B145" s="273"/>
      <c r="C145" s="273"/>
      <c r="D145" s="273"/>
      <c r="E145" s="273"/>
      <c r="L145" s="242"/>
      <c r="P145" s="214"/>
      <c r="Q145" s="214"/>
      <c r="R145" s="214"/>
      <c r="S145" s="214"/>
      <c r="T145" s="214"/>
    </row>
    <row r="146" spans="2:21" x14ac:dyDescent="0.25">
      <c r="B146" s="493" t="s">
        <v>327</v>
      </c>
      <c r="C146" s="493"/>
      <c r="D146" s="493"/>
      <c r="E146" s="493"/>
      <c r="F146" s="493"/>
      <c r="G146" s="493"/>
      <c r="H146" s="493"/>
      <c r="I146" s="493"/>
      <c r="J146" s="493"/>
      <c r="L146" s="242"/>
      <c r="P146" s="214"/>
      <c r="Q146" s="214"/>
      <c r="R146" s="214"/>
      <c r="S146" s="214"/>
      <c r="T146" s="214"/>
    </row>
    <row r="147" spans="2:21" x14ac:dyDescent="0.25">
      <c r="B147" s="266"/>
      <c r="C147" s="256"/>
      <c r="D147" s="256"/>
      <c r="E147" s="256"/>
      <c r="L147" s="242"/>
      <c r="P147" s="214"/>
      <c r="Q147" s="214"/>
      <c r="R147" s="214"/>
      <c r="S147" s="214"/>
      <c r="T147" s="214"/>
    </row>
    <row r="148" spans="2:21" ht="31.5" x14ac:dyDescent="0.25">
      <c r="B148" s="266"/>
      <c r="C148" s="256"/>
      <c r="D148" s="256"/>
      <c r="E148" s="227"/>
      <c r="F148" s="239" t="str">
        <f>F140</f>
        <v>Médico</v>
      </c>
      <c r="G148" s="239">
        <f>G140</f>
        <v>0.06</v>
      </c>
      <c r="H148" s="239" t="str">
        <f>H140</f>
        <v>q</v>
      </c>
      <c r="I148" s="239">
        <f>I140</f>
        <v>0.02</v>
      </c>
      <c r="J148" s="239" t="s">
        <v>246</v>
      </c>
      <c r="L148" s="242"/>
      <c r="P148" s="214"/>
      <c r="Q148" s="214"/>
      <c r="R148" s="214"/>
      <c r="S148" s="214"/>
      <c r="T148" s="214"/>
    </row>
    <row r="149" spans="2:21" ht="16.5" customHeight="1" x14ac:dyDescent="0.25">
      <c r="B149" s="257">
        <v>4</v>
      </c>
      <c r="C149" s="491" t="s">
        <v>328</v>
      </c>
      <c r="D149" s="491"/>
      <c r="E149" s="250"/>
      <c r="F149" s="250" t="s">
        <v>263</v>
      </c>
      <c r="G149" s="250" t="s">
        <v>263</v>
      </c>
      <c r="H149" s="250" t="s">
        <v>263</v>
      </c>
      <c r="I149" s="250" t="s">
        <v>263</v>
      </c>
      <c r="J149" s="250" t="s">
        <v>263</v>
      </c>
      <c r="L149" s="242"/>
      <c r="P149" s="214"/>
      <c r="Q149" s="214"/>
      <c r="R149" s="214"/>
      <c r="S149" s="214"/>
      <c r="T149" s="214"/>
      <c r="U149" s="214"/>
    </row>
    <row r="150" spans="2:21" ht="16.5" customHeight="1" x14ac:dyDescent="0.25">
      <c r="B150" s="258" t="s">
        <v>314</v>
      </c>
      <c r="C150" s="495" t="s">
        <v>396</v>
      </c>
      <c r="D150" s="495"/>
      <c r="E150" s="251"/>
      <c r="F150" s="251">
        <f>F125</f>
        <v>113.91954</v>
      </c>
      <c r="G150" s="251" t="e">
        <f>G125</f>
        <v>#VALUE!</v>
      </c>
      <c r="H150" s="251" t="e">
        <f>H125</f>
        <v>#VALUE!</v>
      </c>
      <c r="I150" s="251" t="e">
        <f>I125</f>
        <v>#VALUE!</v>
      </c>
      <c r="J150" s="251" t="e">
        <f>J125</f>
        <v>#VALUE!</v>
      </c>
      <c r="L150" s="242"/>
      <c r="P150" s="214"/>
      <c r="Q150" s="214"/>
      <c r="R150" s="214"/>
      <c r="S150" s="214"/>
      <c r="T150" s="214"/>
      <c r="U150" s="214"/>
    </row>
    <row r="151" spans="2:21" x14ac:dyDescent="0.25">
      <c r="B151" s="258" t="s">
        <v>397</v>
      </c>
      <c r="C151" s="269" t="s">
        <v>398</v>
      </c>
      <c r="D151" s="270"/>
      <c r="E151" s="251"/>
      <c r="F151" s="251">
        <f>F134</f>
        <v>0</v>
      </c>
      <c r="G151" s="251"/>
      <c r="H151" s="251"/>
      <c r="I151" s="251"/>
      <c r="J151" s="251"/>
      <c r="L151" s="242"/>
      <c r="P151" s="214"/>
      <c r="Q151" s="214"/>
      <c r="R151" s="214"/>
      <c r="S151" s="214"/>
      <c r="T151" s="214"/>
      <c r="U151" s="214"/>
    </row>
    <row r="152" spans="2:21" ht="16.5" customHeight="1" x14ac:dyDescent="0.25">
      <c r="B152" s="258" t="s">
        <v>324</v>
      </c>
      <c r="C152" s="495" t="s">
        <v>399</v>
      </c>
      <c r="D152" s="495"/>
      <c r="E152" s="251"/>
      <c r="F152" s="251">
        <f>F143</f>
        <v>0</v>
      </c>
      <c r="G152" s="251">
        <f>G143</f>
        <v>0</v>
      </c>
      <c r="H152" s="251">
        <f>H143</f>
        <v>0</v>
      </c>
      <c r="I152" s="251">
        <f>I143</f>
        <v>0</v>
      </c>
      <c r="J152" s="251">
        <f>J143</f>
        <v>0</v>
      </c>
      <c r="L152" s="242"/>
      <c r="P152" s="214"/>
      <c r="Q152" s="214"/>
      <c r="R152" s="214"/>
      <c r="S152" s="214"/>
      <c r="T152" s="214"/>
      <c r="U152" s="214"/>
    </row>
    <row r="153" spans="2:21" ht="16.5" customHeight="1" x14ac:dyDescent="0.25">
      <c r="B153" s="491" t="s">
        <v>44</v>
      </c>
      <c r="C153" s="491"/>
      <c r="D153" s="491"/>
      <c r="E153" s="274"/>
      <c r="F153" s="274">
        <f>SUM(F150:F152)</f>
        <v>113.91954</v>
      </c>
      <c r="G153" s="274" t="e">
        <f>SUM(G150:G152)</f>
        <v>#VALUE!</v>
      </c>
      <c r="H153" s="274" t="e">
        <f>SUM(H150:H152)</f>
        <v>#VALUE!</v>
      </c>
      <c r="I153" s="274" t="e">
        <f>SUM(I150:I152)</f>
        <v>#VALUE!</v>
      </c>
      <c r="J153" s="274" t="e">
        <f>SUM(J150:J152)</f>
        <v>#VALUE!</v>
      </c>
      <c r="L153" s="242"/>
      <c r="P153" s="214"/>
      <c r="Q153" s="214"/>
      <c r="R153" s="214"/>
      <c r="S153" s="214"/>
      <c r="T153" s="214"/>
      <c r="U153" s="214"/>
    </row>
    <row r="154" spans="2:21" x14ac:dyDescent="0.25">
      <c r="B154" s="273"/>
      <c r="C154" s="273"/>
      <c r="D154" s="273"/>
      <c r="E154" s="273"/>
      <c r="L154" s="242"/>
      <c r="P154" s="214"/>
      <c r="Q154" s="214"/>
      <c r="R154" s="214"/>
      <c r="S154" s="214"/>
      <c r="T154" s="214"/>
    </row>
    <row r="155" spans="2:21" x14ac:dyDescent="0.25">
      <c r="B155" s="490" t="s">
        <v>329</v>
      </c>
      <c r="C155" s="490"/>
      <c r="D155" s="490"/>
      <c r="E155" s="490"/>
      <c r="F155" s="490"/>
      <c r="G155" s="490"/>
      <c r="H155" s="490"/>
      <c r="I155" s="490"/>
      <c r="J155" s="490"/>
      <c r="K155" s="264"/>
      <c r="L155" s="242"/>
      <c r="P155" s="214"/>
      <c r="Q155" s="214"/>
      <c r="R155" s="214"/>
      <c r="S155" s="214"/>
      <c r="T155" s="214"/>
    </row>
    <row r="156" spans="2:21" x14ac:dyDescent="0.25">
      <c r="B156" s="256"/>
      <c r="C156" s="256"/>
      <c r="D156" s="256"/>
      <c r="E156" s="256"/>
      <c r="L156" s="242"/>
      <c r="P156" s="214"/>
      <c r="Q156" s="214"/>
      <c r="R156" s="214"/>
      <c r="S156" s="214"/>
      <c r="T156" s="214"/>
    </row>
    <row r="157" spans="2:21" ht="31.5" x14ac:dyDescent="0.25">
      <c r="B157" s="256"/>
      <c r="C157" s="256"/>
      <c r="D157" s="256"/>
      <c r="E157" s="227"/>
      <c r="F157" s="239" t="str">
        <f>F148</f>
        <v>Médico</v>
      </c>
      <c r="G157" s="239">
        <f>G148</f>
        <v>0.06</v>
      </c>
      <c r="H157" s="239" t="str">
        <f>H148</f>
        <v>q</v>
      </c>
      <c r="I157" s="239">
        <f>I148</f>
        <v>0.02</v>
      </c>
      <c r="J157" s="239" t="s">
        <v>246</v>
      </c>
      <c r="L157" s="242"/>
      <c r="P157" s="214"/>
      <c r="Q157" s="214"/>
      <c r="R157" s="214"/>
      <c r="S157" s="214"/>
      <c r="T157" s="214"/>
    </row>
    <row r="158" spans="2:21" ht="16.5" customHeight="1" x14ac:dyDescent="0.25">
      <c r="B158" s="257">
        <v>5</v>
      </c>
      <c r="C158" s="491" t="s">
        <v>217</v>
      </c>
      <c r="D158" s="491"/>
      <c r="E158" s="250"/>
      <c r="F158" s="250" t="s">
        <v>263</v>
      </c>
      <c r="G158" s="250" t="s">
        <v>263</v>
      </c>
      <c r="H158" s="250" t="s">
        <v>263</v>
      </c>
      <c r="I158" s="250" t="s">
        <v>263</v>
      </c>
      <c r="J158" s="250" t="s">
        <v>263</v>
      </c>
      <c r="L158" s="242"/>
      <c r="P158" s="214"/>
      <c r="Q158" s="214"/>
      <c r="R158" s="214"/>
      <c r="S158" s="214"/>
      <c r="T158" s="214"/>
      <c r="U158" s="214"/>
    </row>
    <row r="159" spans="2:21" ht="16.5" customHeight="1" x14ac:dyDescent="0.25">
      <c r="B159" s="258" t="s">
        <v>227</v>
      </c>
      <c r="C159" s="495" t="s">
        <v>400</v>
      </c>
      <c r="D159" s="495"/>
      <c r="E159" s="251"/>
      <c r="F159" s="251"/>
      <c r="G159" s="251"/>
      <c r="H159" s="251"/>
      <c r="I159" s="251"/>
      <c r="J159" s="251" t="e">
        <f>(J46+J97+J110+J153)*3.05%</f>
        <v>#VALUE!</v>
      </c>
      <c r="L159" s="242"/>
      <c r="P159" s="214"/>
      <c r="Q159" s="214"/>
      <c r="R159" s="214"/>
      <c r="S159" s="214"/>
      <c r="T159" s="214"/>
      <c r="U159" s="214"/>
    </row>
    <row r="160" spans="2:21" x14ac:dyDescent="0.25">
      <c r="B160" s="258" t="s">
        <v>229</v>
      </c>
      <c r="C160" s="383" t="s">
        <v>440</v>
      </c>
      <c r="D160" s="270"/>
      <c r="E160" s="251"/>
      <c r="F160" s="251"/>
      <c r="G160" s="251"/>
      <c r="H160" s="251"/>
      <c r="I160" s="251"/>
      <c r="J160" s="251"/>
      <c r="L160" s="242"/>
      <c r="P160" s="214"/>
      <c r="Q160" s="214"/>
      <c r="R160" s="214"/>
      <c r="S160" s="214"/>
      <c r="T160" s="214"/>
      <c r="U160" s="214"/>
    </row>
    <row r="161" spans="2:21" x14ac:dyDescent="0.25">
      <c r="B161" s="258" t="s">
        <v>232</v>
      </c>
      <c r="C161" s="383" t="s">
        <v>402</v>
      </c>
      <c r="D161" s="270"/>
      <c r="E161" s="251"/>
      <c r="F161" s="251"/>
      <c r="G161" s="251"/>
      <c r="H161" s="251"/>
      <c r="I161" s="251"/>
      <c r="J161" s="251"/>
      <c r="L161" s="242"/>
      <c r="P161" s="214"/>
      <c r="Q161" s="214"/>
      <c r="R161" s="214"/>
      <c r="S161" s="214"/>
      <c r="T161" s="214"/>
      <c r="U161" s="214"/>
    </row>
    <row r="162" spans="2:21" x14ac:dyDescent="0.25">
      <c r="B162" s="258" t="s">
        <v>234</v>
      </c>
      <c r="C162" s="383" t="s">
        <v>271</v>
      </c>
      <c r="D162" s="270"/>
      <c r="E162" s="251"/>
      <c r="F162" s="251"/>
      <c r="G162" s="251"/>
      <c r="H162" s="251"/>
      <c r="I162" s="251"/>
      <c r="J162" s="251"/>
      <c r="L162" s="242"/>
      <c r="P162" s="214"/>
      <c r="Q162" s="214"/>
      <c r="R162" s="214"/>
      <c r="S162" s="214"/>
      <c r="T162" s="214"/>
      <c r="U162" s="214"/>
    </row>
    <row r="163" spans="2:21" ht="16.5" customHeight="1" x14ac:dyDescent="0.25">
      <c r="B163" s="491" t="s">
        <v>288</v>
      </c>
      <c r="C163" s="491"/>
      <c r="D163" s="491"/>
      <c r="E163" s="274"/>
      <c r="F163" s="274">
        <f>SUM(F159:F159)</f>
        <v>0</v>
      </c>
      <c r="G163" s="274">
        <f>SUM(G159:G159)</f>
        <v>0</v>
      </c>
      <c r="H163" s="274">
        <f>SUM(H159:H159)</f>
        <v>0</v>
      </c>
      <c r="I163" s="274">
        <f>SUM(I159:I159)</f>
        <v>0</v>
      </c>
      <c r="J163" s="274" t="e">
        <f>SUM(J159:J159)</f>
        <v>#VALUE!</v>
      </c>
      <c r="L163" s="242"/>
      <c r="P163" s="214"/>
      <c r="Q163" s="214"/>
      <c r="R163" s="214"/>
      <c r="S163" s="214"/>
      <c r="T163" s="214"/>
      <c r="U163" s="214"/>
    </row>
    <row r="164" spans="2:21" x14ac:dyDescent="0.25">
      <c r="L164" s="242"/>
      <c r="P164" s="214"/>
      <c r="Q164" s="214"/>
      <c r="R164" s="214"/>
      <c r="S164" s="214"/>
      <c r="T164" s="214"/>
    </row>
    <row r="165" spans="2:21" x14ac:dyDescent="0.25">
      <c r="B165" s="490" t="s">
        <v>403</v>
      </c>
      <c r="C165" s="490"/>
      <c r="D165" s="490"/>
      <c r="E165" s="490"/>
      <c r="F165" s="490"/>
      <c r="G165" s="490"/>
      <c r="H165" s="490"/>
      <c r="I165" s="490"/>
      <c r="J165" s="490"/>
      <c r="L165" s="242"/>
      <c r="P165" s="214"/>
      <c r="Q165" s="214"/>
      <c r="R165" s="214"/>
      <c r="S165" s="214"/>
      <c r="T165" s="214"/>
    </row>
    <row r="166" spans="2:21" x14ac:dyDescent="0.25">
      <c r="B166" s="256"/>
      <c r="C166" s="256"/>
      <c r="D166" s="256"/>
      <c r="E166" s="256"/>
      <c r="L166" s="242"/>
      <c r="P166" s="214"/>
      <c r="Q166" s="214"/>
      <c r="R166" s="214"/>
      <c r="S166" s="214"/>
      <c r="T166" s="214"/>
    </row>
    <row r="167" spans="2:21" ht="31.5" x14ac:dyDescent="0.25">
      <c r="B167" s="256"/>
      <c r="C167" s="256"/>
      <c r="D167" s="256"/>
      <c r="E167" s="227"/>
      <c r="F167" s="239" t="str">
        <f>F157</f>
        <v>Médico</v>
      </c>
      <c r="G167" s="239">
        <f>G157</f>
        <v>0.06</v>
      </c>
      <c r="H167" s="239" t="str">
        <f>H157</f>
        <v>q</v>
      </c>
      <c r="I167" s="239">
        <f>I157</f>
        <v>0.02</v>
      </c>
      <c r="J167" s="239" t="s">
        <v>246</v>
      </c>
      <c r="L167" s="242"/>
      <c r="P167" s="214"/>
      <c r="Q167" s="214"/>
      <c r="R167" s="214"/>
      <c r="S167" s="214"/>
      <c r="T167" s="214"/>
    </row>
    <row r="168" spans="2:21" x14ac:dyDescent="0.25">
      <c r="B168" s="257">
        <v>6</v>
      </c>
      <c r="C168" s="275" t="s">
        <v>218</v>
      </c>
      <c r="D168" s="250" t="s">
        <v>281</v>
      </c>
      <c r="E168" s="250"/>
      <c r="F168" s="250" t="s">
        <v>263</v>
      </c>
      <c r="G168" s="250" t="s">
        <v>263</v>
      </c>
      <c r="H168" s="250" t="s">
        <v>263</v>
      </c>
      <c r="I168" s="250" t="s">
        <v>263</v>
      </c>
      <c r="J168" s="250" t="s">
        <v>263</v>
      </c>
      <c r="L168" s="242"/>
      <c r="P168" s="214"/>
      <c r="Q168" s="214"/>
      <c r="R168" s="214"/>
      <c r="S168" s="214"/>
      <c r="T168" s="214"/>
    </row>
    <row r="169" spans="2:21" x14ac:dyDescent="0.25">
      <c r="B169" s="258" t="s">
        <v>227</v>
      </c>
      <c r="C169" s="276" t="s">
        <v>200</v>
      </c>
      <c r="D169" s="277">
        <v>0.06</v>
      </c>
      <c r="E169" s="251"/>
      <c r="F169" s="251">
        <f>(F163+F153+F110+F97+F46)*$D$169</f>
        <v>445.36508420000001</v>
      </c>
      <c r="G169" s="251" t="e">
        <f>(G163+G153+G110+G97+G46)*$D$169</f>
        <v>#VALUE!</v>
      </c>
      <c r="H169" s="251" t="e">
        <f>(H163+H153+H110+H97+H46)*$D$169</f>
        <v>#VALUE!</v>
      </c>
      <c r="I169" s="251" t="e">
        <f>(I163+I153+I110+I97+I46)*$D$169</f>
        <v>#VALUE!</v>
      </c>
      <c r="J169" s="251" t="e">
        <f>(J163+J153+J110+J97+J46)*$D$169</f>
        <v>#VALUE!</v>
      </c>
      <c r="L169" s="278" t="s">
        <v>312</v>
      </c>
      <c r="P169" s="214"/>
      <c r="Q169" s="214"/>
      <c r="R169" s="214"/>
      <c r="S169" s="214"/>
      <c r="T169" s="214"/>
    </row>
    <row r="170" spans="2:21" x14ac:dyDescent="0.25">
      <c r="B170" s="258" t="s">
        <v>229</v>
      </c>
      <c r="C170" s="276" t="s">
        <v>202</v>
      </c>
      <c r="D170" s="277">
        <v>6.7900000000000002E-2</v>
      </c>
      <c r="E170" s="251"/>
      <c r="F170" s="251">
        <f>(F163+F153+F110+F97+F46+F169)*$D$170</f>
        <v>534.24510950351339</v>
      </c>
      <c r="G170" s="251" t="e">
        <f>(G163+G153+G110+G97+G46+G169)*$D$170</f>
        <v>#VALUE!</v>
      </c>
      <c r="H170" s="251" t="e">
        <f>(H163+H153+H110+H97+H46+H169)*$D$170</f>
        <v>#VALUE!</v>
      </c>
      <c r="I170" s="251" t="e">
        <f>(I163+I153+I110+I97+I46+I169)*$D$170</f>
        <v>#VALUE!</v>
      </c>
      <c r="J170" s="251" t="e">
        <f>(J163+J153+J110+J97+J46+J169)*$D$170</f>
        <v>#VALUE!</v>
      </c>
      <c r="L170" s="278" t="s">
        <v>312</v>
      </c>
      <c r="P170" s="214"/>
      <c r="Q170" s="214"/>
      <c r="R170" s="214"/>
      <c r="S170" s="214"/>
      <c r="T170" s="214"/>
    </row>
    <row r="171" spans="2:21" x14ac:dyDescent="0.25">
      <c r="B171" s="258" t="s">
        <v>232</v>
      </c>
      <c r="C171" s="276" t="s">
        <v>201</v>
      </c>
      <c r="D171" s="277"/>
      <c r="E171" s="261"/>
      <c r="F171" s="261"/>
      <c r="G171" s="261"/>
      <c r="H171" s="261"/>
      <c r="I171" s="261"/>
      <c r="J171" s="261"/>
      <c r="L171" s="242"/>
      <c r="P171" s="214"/>
      <c r="Q171" s="214"/>
      <c r="R171" s="214"/>
      <c r="S171" s="214"/>
      <c r="T171" s="214"/>
    </row>
    <row r="172" spans="2:21" ht="30" x14ac:dyDescent="0.25">
      <c r="B172" s="258"/>
      <c r="C172" s="276" t="s">
        <v>332</v>
      </c>
      <c r="D172" s="279">
        <f>1-(D173+D174+D175+D176)</f>
        <v>0.91349999999999998</v>
      </c>
      <c r="E172" s="280"/>
      <c r="F172" s="280">
        <f>(F163+F153+F110+F97+F46+F169+F170)/$D$172</f>
        <v>9197.9875172817156</v>
      </c>
      <c r="G172" s="280" t="e">
        <f>(G163+G153+G110+G97+G46+G169+G170)/$D$172</f>
        <v>#VALUE!</v>
      </c>
      <c r="H172" s="280" t="e">
        <f>(H163+H153+H110+H97+H46+H169+H170)/$D$172</f>
        <v>#VALUE!</v>
      </c>
      <c r="I172" s="280" t="e">
        <f>(I163+I153+I110+I97+I46+I169+I170)/$D$172</f>
        <v>#VALUE!</v>
      </c>
      <c r="J172" s="280" t="e">
        <f>(J163+J153+J110+J97+J46+J169+J170)/$D$172</f>
        <v>#VALUE!</v>
      </c>
      <c r="L172" s="242"/>
      <c r="P172" s="214"/>
      <c r="Q172" s="214"/>
      <c r="R172" s="214"/>
      <c r="S172" s="214"/>
      <c r="T172" s="214"/>
    </row>
    <row r="173" spans="2:21" x14ac:dyDescent="0.25">
      <c r="B173" s="258"/>
      <c r="C173" s="276" t="s">
        <v>333</v>
      </c>
      <c r="D173" s="277">
        <v>6.4999999999999997E-3</v>
      </c>
      <c r="E173" s="251"/>
      <c r="F173" s="251">
        <f>F172*$D$173</f>
        <v>59.786918862331149</v>
      </c>
      <c r="G173" s="251" t="e">
        <f>G172*$D$173</f>
        <v>#VALUE!</v>
      </c>
      <c r="H173" s="251" t="e">
        <f>H172*$D$173</f>
        <v>#VALUE!</v>
      </c>
      <c r="I173" s="251" t="e">
        <f>I172*$D$173</f>
        <v>#VALUE!</v>
      </c>
      <c r="J173" s="251" t="e">
        <f>J172*$D$173</f>
        <v>#VALUE!</v>
      </c>
      <c r="L173" s="242"/>
      <c r="P173" s="214"/>
      <c r="Q173" s="214"/>
      <c r="R173" s="214"/>
      <c r="S173" s="214"/>
      <c r="T173" s="214"/>
    </row>
    <row r="174" spans="2:21" x14ac:dyDescent="0.25">
      <c r="B174" s="258"/>
      <c r="C174" s="276" t="s">
        <v>334</v>
      </c>
      <c r="D174" s="277">
        <v>0.03</v>
      </c>
      <c r="E174" s="251"/>
      <c r="F174" s="251">
        <f>F172*$D$174</f>
        <v>275.93962551845146</v>
      </c>
      <c r="G174" s="251" t="e">
        <f>G172*$D$174</f>
        <v>#VALUE!</v>
      </c>
      <c r="H174" s="251" t="e">
        <f>H172*$D$174</f>
        <v>#VALUE!</v>
      </c>
      <c r="I174" s="251" t="e">
        <f>I172*$D$174</f>
        <v>#VALUE!</v>
      </c>
      <c r="J174" s="251" t="e">
        <f>J172*$D$174</f>
        <v>#VALUE!</v>
      </c>
      <c r="L174" s="242"/>
      <c r="P174" s="214"/>
      <c r="Q174" s="214"/>
      <c r="R174" s="214"/>
      <c r="S174" s="214"/>
      <c r="T174" s="214"/>
    </row>
    <row r="175" spans="2:21" x14ac:dyDescent="0.25">
      <c r="B175" s="258"/>
      <c r="C175" s="276" t="s">
        <v>335</v>
      </c>
      <c r="D175" s="277"/>
      <c r="E175" s="251"/>
      <c r="F175" s="251">
        <f>F172*$D$175</f>
        <v>0</v>
      </c>
      <c r="G175" s="251" t="e">
        <f>G172*$D$175</f>
        <v>#VALUE!</v>
      </c>
      <c r="H175" s="251" t="e">
        <f>H172*$D$175</f>
        <v>#VALUE!</v>
      </c>
      <c r="I175" s="251" t="e">
        <f>I172*$D$175</f>
        <v>#VALUE!</v>
      </c>
      <c r="J175" s="251" t="e">
        <f>J172*$D$175</f>
        <v>#VALUE!</v>
      </c>
      <c r="L175" s="242"/>
      <c r="P175" s="214"/>
      <c r="Q175" s="214"/>
      <c r="R175" s="214"/>
      <c r="S175" s="214"/>
      <c r="T175" s="214"/>
    </row>
    <row r="176" spans="2:21" x14ac:dyDescent="0.25">
      <c r="B176" s="258"/>
      <c r="C176" s="276" t="s">
        <v>336</v>
      </c>
      <c r="D176" s="277">
        <v>0.05</v>
      </c>
      <c r="E176" s="251"/>
      <c r="F176" s="251">
        <f>F172*$D$176</f>
        <v>459.89937586408581</v>
      </c>
      <c r="G176" s="251" t="e">
        <f>G172*$D$176</f>
        <v>#VALUE!</v>
      </c>
      <c r="H176" s="251" t="e">
        <f>H172*$D$176</f>
        <v>#VALUE!</v>
      </c>
      <c r="I176" s="251" t="e">
        <f>I172*$D$176</f>
        <v>#VALUE!</v>
      </c>
      <c r="J176" s="251" t="e">
        <f>J172*$D$176</f>
        <v>#VALUE!</v>
      </c>
      <c r="L176" s="242"/>
      <c r="P176" s="214"/>
      <c r="Q176" s="214"/>
      <c r="R176" s="214"/>
      <c r="S176" s="214"/>
      <c r="T176" s="214"/>
    </row>
    <row r="177" spans="2:21" ht="16.5" customHeight="1" x14ac:dyDescent="0.25">
      <c r="B177" s="491" t="s">
        <v>288</v>
      </c>
      <c r="C177" s="491"/>
      <c r="D177" s="281">
        <f>SUM(D173:D176)</f>
        <v>8.6499999999999994E-2</v>
      </c>
      <c r="E177" s="274"/>
      <c r="F177" s="274">
        <f>SUM(F173:F176)+SUM(F169:F170)</f>
        <v>1775.2361139483819</v>
      </c>
      <c r="G177" s="274" t="e">
        <f>SUM(G173:G176)+SUM(G169:G170)</f>
        <v>#VALUE!</v>
      </c>
      <c r="H177" s="274" t="e">
        <f>SUM(H173:H176)+SUM(H169:H170)</f>
        <v>#VALUE!</v>
      </c>
      <c r="I177" s="274" t="e">
        <f>SUM(I173:I176)+SUM(I169:I170)</f>
        <v>#VALUE!</v>
      </c>
      <c r="J177" s="274" t="e">
        <f>SUM(J173:J176)+SUM(J169:J170)</f>
        <v>#VALUE!</v>
      </c>
      <c r="L177" s="242"/>
      <c r="P177" s="214"/>
      <c r="Q177" s="214"/>
      <c r="R177" s="214"/>
      <c r="S177" s="214"/>
      <c r="T177" s="214"/>
    </row>
    <row r="178" spans="2:21" x14ac:dyDescent="0.25">
      <c r="L178" s="242"/>
      <c r="P178" s="214"/>
      <c r="Q178" s="214"/>
      <c r="R178" s="214"/>
      <c r="S178" s="214"/>
      <c r="T178" s="214"/>
    </row>
    <row r="179" spans="2:21" ht="24" customHeight="1" x14ac:dyDescent="0.25">
      <c r="B179" s="484" t="s">
        <v>337</v>
      </c>
      <c r="C179" s="484"/>
      <c r="D179" s="484"/>
      <c r="E179" s="484"/>
      <c r="F179" s="484"/>
      <c r="G179" s="484"/>
      <c r="H179" s="484"/>
      <c r="I179" s="484"/>
      <c r="J179" s="484"/>
      <c r="L179" s="242"/>
      <c r="P179" s="214"/>
      <c r="Q179" s="214"/>
      <c r="R179" s="214"/>
      <c r="S179" s="214"/>
      <c r="T179" s="214"/>
    </row>
    <row r="180" spans="2:21" x14ac:dyDescent="0.25">
      <c r="L180" s="242"/>
      <c r="P180" s="214"/>
      <c r="Q180" s="214"/>
      <c r="R180" s="214"/>
      <c r="S180" s="214"/>
      <c r="T180" s="214"/>
    </row>
    <row r="181" spans="2:21" ht="31.5" x14ac:dyDescent="0.25">
      <c r="E181" s="227"/>
      <c r="F181" s="239" t="str">
        <f>F167</f>
        <v>Médico</v>
      </c>
      <c r="G181" s="446">
        <f>G167</f>
        <v>0.06</v>
      </c>
      <c r="H181" s="446" t="str">
        <f>H167</f>
        <v>q</v>
      </c>
      <c r="I181" s="446">
        <f>I167</f>
        <v>0.02</v>
      </c>
      <c r="J181" s="239" t="s">
        <v>246</v>
      </c>
      <c r="L181" s="242"/>
      <c r="P181" s="214"/>
      <c r="Q181" s="214"/>
      <c r="R181" s="214"/>
      <c r="S181" s="214"/>
      <c r="T181" s="214"/>
    </row>
    <row r="182" spans="2:21" ht="32.25" customHeight="1" x14ac:dyDescent="0.25">
      <c r="B182" s="227"/>
      <c r="C182" s="483" t="s">
        <v>338</v>
      </c>
      <c r="D182" s="483"/>
      <c r="E182" s="221"/>
      <c r="F182" s="221" t="s">
        <v>263</v>
      </c>
      <c r="G182" s="447" t="s">
        <v>263</v>
      </c>
      <c r="H182" s="447" t="s">
        <v>263</v>
      </c>
      <c r="I182" s="447" t="s">
        <v>263</v>
      </c>
      <c r="J182" s="221" t="s">
        <v>263</v>
      </c>
      <c r="L182" s="242"/>
      <c r="P182" s="214"/>
      <c r="Q182" s="214"/>
      <c r="R182" s="214"/>
      <c r="S182" s="214"/>
      <c r="T182" s="214"/>
      <c r="U182" s="214"/>
    </row>
    <row r="183" spans="2:21" ht="16.5" customHeight="1" x14ac:dyDescent="0.25">
      <c r="B183" s="282" t="s">
        <v>227</v>
      </c>
      <c r="C183" s="486" t="s">
        <v>261</v>
      </c>
      <c r="D183" s="486"/>
      <c r="E183" s="224"/>
      <c r="F183" s="224">
        <f>F46</f>
        <v>4200</v>
      </c>
      <c r="G183" s="448" t="e">
        <f>G46</f>
        <v>#VALUE!</v>
      </c>
      <c r="H183" s="448" t="e">
        <f>H46</f>
        <v>#VALUE!</v>
      </c>
      <c r="I183" s="448" t="e">
        <f>I46</f>
        <v>#VALUE!</v>
      </c>
      <c r="J183" s="224" t="e">
        <f>J46</f>
        <v>#VALUE!</v>
      </c>
      <c r="L183" s="242"/>
      <c r="M183" s="283" t="e">
        <f t="shared" ref="M183:M190" si="5">E183/$E$190</f>
        <v>#DIV/0!</v>
      </c>
      <c r="N183" s="283">
        <f t="shared" ref="N183:N190" si="6">F183/$F$190</f>
        <v>0.45662162425300046</v>
      </c>
      <c r="O183" s="283" t="e">
        <f t="shared" ref="O183:O190" si="7">G183/$G$190</f>
        <v>#VALUE!</v>
      </c>
      <c r="P183" s="214" t="s">
        <v>339</v>
      </c>
      <c r="Q183" s="214"/>
      <c r="R183" s="214"/>
      <c r="S183" s="214"/>
      <c r="T183" s="214"/>
      <c r="U183" s="214"/>
    </row>
    <row r="184" spans="2:21" ht="16.5" customHeight="1" x14ac:dyDescent="0.25">
      <c r="B184" s="282" t="s">
        <v>229</v>
      </c>
      <c r="C184" s="486" t="s">
        <v>272</v>
      </c>
      <c r="D184" s="486"/>
      <c r="E184" s="224"/>
      <c r="F184" s="224">
        <f>F97</f>
        <v>2774.1857799999998</v>
      </c>
      <c r="G184" s="448" t="e">
        <f>G97</f>
        <v>#VALUE!</v>
      </c>
      <c r="H184" s="448" t="e">
        <f>H97</f>
        <v>#VALUE!</v>
      </c>
      <c r="I184" s="448" t="e">
        <f>I97</f>
        <v>#VALUE!</v>
      </c>
      <c r="J184" s="224" t="e">
        <f>J97</f>
        <v>#VALUE!</v>
      </c>
      <c r="L184" s="242"/>
      <c r="M184" s="283" t="e">
        <f t="shared" si="5"/>
        <v>#DIV/0!</v>
      </c>
      <c r="N184" s="283">
        <f t="shared" si="6"/>
        <v>0.30160790877218496</v>
      </c>
      <c r="O184" s="283" t="e">
        <f t="shared" si="7"/>
        <v>#VALUE!</v>
      </c>
      <c r="P184" s="214" t="s">
        <v>340</v>
      </c>
      <c r="Q184" s="214"/>
      <c r="R184" s="214"/>
      <c r="S184" s="214"/>
      <c r="T184" s="214"/>
      <c r="U184" s="214"/>
    </row>
    <row r="185" spans="2:21" ht="16.5" customHeight="1" x14ac:dyDescent="0.25">
      <c r="B185" s="282" t="s">
        <v>232</v>
      </c>
      <c r="C185" s="486" t="s">
        <v>303</v>
      </c>
      <c r="D185" s="486"/>
      <c r="E185" s="224"/>
      <c r="F185" s="224">
        <f>F110</f>
        <v>334.64608333333331</v>
      </c>
      <c r="G185" s="448" t="e">
        <f>G110</f>
        <v>#VALUE!</v>
      </c>
      <c r="H185" s="448" t="e">
        <f>H110</f>
        <v>#VALUE!</v>
      </c>
      <c r="I185" s="448" t="e">
        <f>I110</f>
        <v>#VALUE!</v>
      </c>
      <c r="J185" s="224" t="e">
        <f>J110</f>
        <v>#VALUE!</v>
      </c>
      <c r="L185" s="242"/>
      <c r="M185" s="283" t="e">
        <f t="shared" si="5"/>
        <v>#DIV/0!</v>
      </c>
      <c r="N185" s="283">
        <f t="shared" si="6"/>
        <v>3.6382532886088476E-2</v>
      </c>
      <c r="O185" s="283" t="e">
        <f t="shared" si="7"/>
        <v>#VALUE!</v>
      </c>
      <c r="P185" s="214" t="s">
        <v>341</v>
      </c>
      <c r="Q185" s="214"/>
      <c r="R185" s="214"/>
      <c r="S185" s="214"/>
      <c r="T185" s="214"/>
      <c r="U185" s="214"/>
    </row>
    <row r="186" spans="2:21" ht="16.5" customHeight="1" x14ac:dyDescent="0.25">
      <c r="B186" s="282" t="s">
        <v>234</v>
      </c>
      <c r="C186" s="486" t="s">
        <v>311</v>
      </c>
      <c r="D186" s="486"/>
      <c r="E186" s="224"/>
      <c r="F186" s="224">
        <f>F153</f>
        <v>113.91954</v>
      </c>
      <c r="G186" s="448" t="e">
        <f>G153</f>
        <v>#VALUE!</v>
      </c>
      <c r="H186" s="448" t="e">
        <f>H153</f>
        <v>#VALUE!</v>
      </c>
      <c r="I186" s="448" t="e">
        <f>I153</f>
        <v>#VALUE!</v>
      </c>
      <c r="J186" s="224" t="e">
        <f>J153</f>
        <v>#VALUE!</v>
      </c>
      <c r="L186" s="242"/>
      <c r="M186" s="283" t="e">
        <f t="shared" si="5"/>
        <v>#DIV/0!</v>
      </c>
      <c r="N186" s="283">
        <f t="shared" si="6"/>
        <v>1.2385267949751108E-2</v>
      </c>
      <c r="O186" s="283" t="e">
        <f t="shared" si="7"/>
        <v>#VALUE!</v>
      </c>
      <c r="P186" s="214" t="s">
        <v>342</v>
      </c>
      <c r="Q186" s="214"/>
      <c r="R186" s="214"/>
      <c r="S186" s="214"/>
      <c r="T186" s="214"/>
      <c r="U186" s="214"/>
    </row>
    <row r="187" spans="2:21" ht="16.5" customHeight="1" x14ac:dyDescent="0.25">
      <c r="B187" s="282" t="s">
        <v>267</v>
      </c>
      <c r="C187" s="486" t="s">
        <v>329</v>
      </c>
      <c r="D187" s="486"/>
      <c r="E187" s="224"/>
      <c r="F187" s="224">
        <f>F163</f>
        <v>0</v>
      </c>
      <c r="G187" s="448">
        <f>G163</f>
        <v>0</v>
      </c>
      <c r="H187" s="448">
        <f>H163</f>
        <v>0</v>
      </c>
      <c r="I187" s="448">
        <f>I163</f>
        <v>0</v>
      </c>
      <c r="J187" s="224" t="e">
        <f>J163</f>
        <v>#VALUE!</v>
      </c>
      <c r="L187" s="242"/>
      <c r="M187" s="283" t="e">
        <f t="shared" si="5"/>
        <v>#DIV/0!</v>
      </c>
      <c r="N187" s="283">
        <f t="shared" si="6"/>
        <v>0</v>
      </c>
      <c r="O187" s="283" t="e">
        <f t="shared" si="7"/>
        <v>#VALUE!</v>
      </c>
      <c r="P187" s="214" t="s">
        <v>343</v>
      </c>
      <c r="Q187" s="214"/>
      <c r="R187" s="214"/>
      <c r="S187" s="214"/>
      <c r="T187" s="214"/>
      <c r="U187" s="214"/>
    </row>
    <row r="188" spans="2:21" ht="16.5" customHeight="1" x14ac:dyDescent="0.25">
      <c r="B188" s="483" t="s">
        <v>344</v>
      </c>
      <c r="C188" s="483"/>
      <c r="D188" s="483"/>
      <c r="E188" s="284"/>
      <c r="F188" s="284">
        <f>SUM(F183:F187)</f>
        <v>7422.7514033333327</v>
      </c>
      <c r="G188" s="449" t="e">
        <f>SUM(G183:G187)</f>
        <v>#VALUE!</v>
      </c>
      <c r="H188" s="449" t="e">
        <f>SUM(H183:H187)</f>
        <v>#VALUE!</v>
      </c>
      <c r="I188" s="449" t="e">
        <f>SUM(I183:I187)</f>
        <v>#VALUE!</v>
      </c>
      <c r="J188" s="284" t="e">
        <f>SUM(J183:J187)</f>
        <v>#VALUE!</v>
      </c>
      <c r="L188" s="242"/>
      <c r="M188" s="285" t="e">
        <f t="shared" si="5"/>
        <v>#DIV/0!</v>
      </c>
      <c r="N188" s="285">
        <f t="shared" si="6"/>
        <v>0.80699733386102501</v>
      </c>
      <c r="O188" s="285" t="e">
        <f t="shared" si="7"/>
        <v>#VALUE!</v>
      </c>
      <c r="P188" s="214"/>
      <c r="Q188" s="214"/>
      <c r="R188" s="214"/>
      <c r="S188" s="214"/>
      <c r="T188" s="214"/>
      <c r="U188" s="214"/>
    </row>
    <row r="189" spans="2:21" ht="16.5" customHeight="1" x14ac:dyDescent="0.25">
      <c r="B189" s="282" t="s">
        <v>269</v>
      </c>
      <c r="C189" s="486" t="s">
        <v>345</v>
      </c>
      <c r="D189" s="486"/>
      <c r="E189" s="224"/>
      <c r="F189" s="224">
        <f>F177</f>
        <v>1775.2361139483819</v>
      </c>
      <c r="G189" s="448" t="e">
        <f>G177</f>
        <v>#VALUE!</v>
      </c>
      <c r="H189" s="448" t="e">
        <f>H177</f>
        <v>#VALUE!</v>
      </c>
      <c r="I189" s="448" t="e">
        <f>I177</f>
        <v>#VALUE!</v>
      </c>
      <c r="J189" s="224" t="e">
        <f>J177</f>
        <v>#VALUE!</v>
      </c>
      <c r="L189" s="242"/>
      <c r="M189" s="283" t="e">
        <f t="shared" si="5"/>
        <v>#DIV/0!</v>
      </c>
      <c r="N189" s="283">
        <f t="shared" si="6"/>
        <v>0.19300266613897493</v>
      </c>
      <c r="O189" s="283" t="e">
        <f t="shared" si="7"/>
        <v>#VALUE!</v>
      </c>
      <c r="P189" s="214" t="s">
        <v>346</v>
      </c>
      <c r="Q189" s="214"/>
      <c r="R189" s="214"/>
      <c r="S189" s="214"/>
      <c r="T189" s="214"/>
      <c r="U189" s="214"/>
    </row>
    <row r="190" spans="2:21" ht="23.25" customHeight="1" x14ac:dyDescent="0.25">
      <c r="B190" s="483" t="s">
        <v>347</v>
      </c>
      <c r="C190" s="483"/>
      <c r="D190" s="483"/>
      <c r="E190" s="284"/>
      <c r="F190" s="284">
        <f>F189+F188</f>
        <v>9197.9875172817156</v>
      </c>
      <c r="G190" s="449" t="e">
        <f>G189+G188</f>
        <v>#VALUE!</v>
      </c>
      <c r="H190" s="449" t="e">
        <f>H189+H188</f>
        <v>#VALUE!</v>
      </c>
      <c r="I190" s="449" t="e">
        <f>I189+I188</f>
        <v>#VALUE!</v>
      </c>
      <c r="J190" s="284" t="e">
        <f>J189+J188</f>
        <v>#VALUE!</v>
      </c>
      <c r="L190" s="242"/>
      <c r="M190" s="283" t="e">
        <f t="shared" si="5"/>
        <v>#DIV/0!</v>
      </c>
      <c r="N190" s="283">
        <f t="shared" si="6"/>
        <v>1</v>
      </c>
      <c r="O190" s="283" t="e">
        <f t="shared" si="7"/>
        <v>#VALUE!</v>
      </c>
      <c r="P190" s="214"/>
    </row>
    <row r="191" spans="2:21" x14ac:dyDescent="0.25">
      <c r="L191" s="242"/>
    </row>
    <row r="192" spans="2:21" ht="20.25" customHeight="1" x14ac:dyDescent="0.25">
      <c r="B192" s="484" t="s">
        <v>348</v>
      </c>
      <c r="C192" s="484"/>
      <c r="D192" s="484"/>
      <c r="E192" s="484"/>
      <c r="F192" s="484"/>
      <c r="G192" s="484"/>
      <c r="H192" s="484"/>
      <c r="I192" s="484"/>
      <c r="J192" s="484"/>
      <c r="M192" s="242"/>
      <c r="P192" s="214"/>
    </row>
    <row r="193" spans="2:20" x14ac:dyDescent="0.25">
      <c r="B193" s="213"/>
      <c r="M193" s="242"/>
      <c r="P193" s="214"/>
    </row>
    <row r="194" spans="2:20" ht="63" x14ac:dyDescent="0.25">
      <c r="B194" s="227"/>
      <c r="C194" s="227" t="s">
        <v>349</v>
      </c>
      <c r="D194" s="221" t="s">
        <v>350</v>
      </c>
      <c r="E194" s="221" t="s">
        <v>351</v>
      </c>
      <c r="F194" s="221" t="s">
        <v>352</v>
      </c>
      <c r="G194" s="221" t="s">
        <v>353</v>
      </c>
      <c r="H194" s="221" t="s">
        <v>354</v>
      </c>
      <c r="I194" s="213"/>
      <c r="N194" s="242"/>
      <c r="P194" s="214"/>
      <c r="Q194" s="214"/>
      <c r="R194" s="214"/>
      <c r="S194" s="214"/>
      <c r="T194" s="214"/>
    </row>
    <row r="195" spans="2:20" ht="30" hidden="1" customHeight="1" x14ac:dyDescent="0.25">
      <c r="B195" s="286">
        <v>0</v>
      </c>
      <c r="C195" s="287">
        <f>E181</f>
        <v>0</v>
      </c>
      <c r="D195" s="288">
        <f>E190</f>
        <v>0</v>
      </c>
      <c r="E195" s="225">
        <v>1</v>
      </c>
      <c r="F195" s="289">
        <f t="shared" ref="F195:F200" si="8">D195*E195</f>
        <v>0</v>
      </c>
      <c r="G195" s="225">
        <f t="shared" ref="G195:G200" si="9">E15</f>
        <v>2</v>
      </c>
      <c r="H195" s="290">
        <f t="shared" ref="H195:H200" si="10">F195*G195</f>
        <v>0</v>
      </c>
      <c r="I195" s="213"/>
      <c r="L195" s="303"/>
      <c r="N195" s="242"/>
      <c r="P195" s="214"/>
      <c r="Q195" s="214"/>
      <c r="R195" s="214"/>
      <c r="S195" s="214"/>
      <c r="T195" s="214"/>
    </row>
    <row r="196" spans="2:20" ht="30" customHeight="1" x14ac:dyDescent="0.25">
      <c r="B196" s="286">
        <v>1</v>
      </c>
      <c r="C196" s="287" t="str">
        <f>F181</f>
        <v>Médico</v>
      </c>
      <c r="D196" s="288">
        <f>F190</f>
        <v>9197.9875172817156</v>
      </c>
      <c r="E196" s="225">
        <v>2</v>
      </c>
      <c r="F196" s="289">
        <f t="shared" si="8"/>
        <v>18395.975034563431</v>
      </c>
      <c r="G196" s="225">
        <f t="shared" si="9"/>
        <v>2</v>
      </c>
      <c r="H196" s="290">
        <f t="shared" si="10"/>
        <v>36791.950069126862</v>
      </c>
      <c r="I196" s="213"/>
      <c r="L196" s="303"/>
      <c r="N196" s="242"/>
      <c r="P196" s="214"/>
      <c r="Q196" s="214"/>
      <c r="R196" s="214"/>
      <c r="S196" s="214"/>
      <c r="T196" s="214"/>
    </row>
    <row r="197" spans="2:20" ht="30" hidden="1" customHeight="1" x14ac:dyDescent="0.25">
      <c r="B197" s="286">
        <v>3</v>
      </c>
      <c r="C197" s="287">
        <f>G181</f>
        <v>0.06</v>
      </c>
      <c r="D197" s="288" t="e">
        <f>G190</f>
        <v>#VALUE!</v>
      </c>
      <c r="E197" s="225">
        <v>2</v>
      </c>
      <c r="F197" s="289" t="e">
        <f t="shared" si="8"/>
        <v>#VALUE!</v>
      </c>
      <c r="G197" s="225">
        <f t="shared" si="9"/>
        <v>2</v>
      </c>
      <c r="H197" s="290" t="e">
        <f t="shared" si="10"/>
        <v>#VALUE!</v>
      </c>
      <c r="I197" s="213"/>
      <c r="L197" s="303"/>
      <c r="N197" s="242"/>
      <c r="P197" s="214"/>
      <c r="Q197" s="214"/>
      <c r="R197" s="214"/>
      <c r="S197" s="214"/>
      <c r="T197" s="214"/>
    </row>
    <row r="198" spans="2:20" ht="30" hidden="1" customHeight="1" x14ac:dyDescent="0.25">
      <c r="B198" s="286">
        <v>4</v>
      </c>
      <c r="C198" s="287" t="str">
        <f>H181</f>
        <v>q</v>
      </c>
      <c r="D198" s="288" t="e">
        <f>H190</f>
        <v>#VALUE!</v>
      </c>
      <c r="E198" s="225">
        <v>1</v>
      </c>
      <c r="F198" s="289" t="e">
        <f t="shared" si="8"/>
        <v>#VALUE!</v>
      </c>
      <c r="G198" s="225">
        <f t="shared" si="9"/>
        <v>2</v>
      </c>
      <c r="H198" s="290" t="e">
        <f t="shared" si="10"/>
        <v>#VALUE!</v>
      </c>
      <c r="I198" s="291"/>
      <c r="L198" s="303"/>
      <c r="N198" s="242"/>
      <c r="P198" s="214"/>
      <c r="Q198" s="214"/>
      <c r="R198" s="214"/>
      <c r="S198" s="214"/>
      <c r="T198" s="214"/>
    </row>
    <row r="199" spans="2:20" ht="30" hidden="1" customHeight="1" x14ac:dyDescent="0.25">
      <c r="B199" s="286">
        <v>5</v>
      </c>
      <c r="C199" s="450">
        <f>I181</f>
        <v>0.02</v>
      </c>
      <c r="D199" s="451" t="e">
        <f>I190</f>
        <v>#VALUE!</v>
      </c>
      <c r="E199" s="261">
        <v>2</v>
      </c>
      <c r="F199" s="452" t="e">
        <f t="shared" si="8"/>
        <v>#VALUE!</v>
      </c>
      <c r="G199" s="261">
        <f t="shared" si="9"/>
        <v>0</v>
      </c>
      <c r="H199" s="453" t="e">
        <f t="shared" si="10"/>
        <v>#VALUE!</v>
      </c>
      <c r="I199" s="298"/>
      <c r="L199" s="303"/>
      <c r="N199" s="242"/>
      <c r="P199" s="214"/>
      <c r="Q199" s="214"/>
      <c r="R199" s="214"/>
      <c r="S199" s="214"/>
      <c r="T199" s="214"/>
    </row>
    <row r="200" spans="2:20" ht="30" hidden="1" customHeight="1" x14ac:dyDescent="0.25">
      <c r="B200" s="292"/>
      <c r="C200" s="293" t="str">
        <f>J181</f>
        <v>Supervisor 12x36 N</v>
      </c>
      <c r="D200" s="294" t="e">
        <f>J190</f>
        <v>#VALUE!</v>
      </c>
      <c r="E200" s="295">
        <v>2</v>
      </c>
      <c r="F200" s="296" t="e">
        <f t="shared" si="8"/>
        <v>#VALUE!</v>
      </c>
      <c r="G200" s="295">
        <f t="shared" si="9"/>
        <v>0</v>
      </c>
      <c r="H200" s="297" t="e">
        <f t="shared" si="10"/>
        <v>#VALUE!</v>
      </c>
      <c r="I200" s="298"/>
      <c r="L200" s="303"/>
      <c r="N200" s="242"/>
      <c r="P200" s="214"/>
      <c r="Q200" s="214"/>
      <c r="R200" s="214"/>
      <c r="S200" s="214"/>
      <c r="T200" s="214"/>
    </row>
    <row r="201" spans="2:20" ht="27" customHeight="1" x14ac:dyDescent="0.25">
      <c r="B201" s="213"/>
      <c r="C201" s="299" t="s">
        <v>44</v>
      </c>
      <c r="D201" s="300"/>
      <c r="E201" s="300"/>
      <c r="F201" s="300"/>
      <c r="G201" s="301"/>
      <c r="H201" s="302">
        <f>H196</f>
        <v>36791.950069126862</v>
      </c>
      <c r="I201" s="213"/>
      <c r="J201" s="303"/>
      <c r="L201" s="303"/>
      <c r="N201" s="242"/>
      <c r="P201" s="214"/>
      <c r="Q201" s="214"/>
      <c r="R201" s="214"/>
      <c r="S201" s="214"/>
      <c r="T201" s="214"/>
    </row>
    <row r="202" spans="2:20" x14ac:dyDescent="0.25">
      <c r="L202" s="242"/>
    </row>
    <row r="203" spans="2:20" hidden="1" x14ac:dyDescent="0.25">
      <c r="L203" s="242"/>
    </row>
    <row r="204" spans="2:20" hidden="1" x14ac:dyDescent="0.25">
      <c r="B204" s="484" t="s">
        <v>355</v>
      </c>
      <c r="C204" s="484"/>
      <c r="D204" s="484"/>
      <c r="E204" s="484"/>
      <c r="F204" s="484"/>
      <c r="G204" s="484"/>
      <c r="H204" s="484"/>
      <c r="I204" s="484"/>
      <c r="J204" s="484"/>
      <c r="L204" s="242"/>
    </row>
    <row r="205" spans="2:20" hidden="1" x14ac:dyDescent="0.25">
      <c r="L205" s="242"/>
    </row>
    <row r="206" spans="2:20" ht="16.5" hidden="1" customHeight="1" x14ac:dyDescent="0.25">
      <c r="B206" s="483" t="s">
        <v>356</v>
      </c>
      <c r="C206" s="483"/>
      <c r="D206" s="483"/>
      <c r="E206" s="483"/>
      <c r="F206" s="483"/>
      <c r="L206" s="242"/>
      <c r="P206" s="214"/>
    </row>
    <row r="207" spans="2:20" ht="26.25" hidden="1" customHeight="1" x14ac:dyDescent="0.25">
      <c r="B207" s="227" t="s">
        <v>229</v>
      </c>
      <c r="C207" s="304" t="s">
        <v>357</v>
      </c>
      <c r="D207" s="305"/>
      <c r="E207" s="497"/>
      <c r="F207" s="497"/>
      <c r="H207" s="306"/>
      <c r="L207" s="242"/>
      <c r="P207" s="214"/>
    </row>
    <row r="208" spans="2:20" ht="45.75" hidden="1" customHeight="1" x14ac:dyDescent="0.25">
      <c r="B208" s="227" t="s">
        <v>232</v>
      </c>
      <c r="C208" s="498" t="s">
        <v>358</v>
      </c>
      <c r="D208" s="498"/>
      <c r="E208" s="499"/>
      <c r="F208" s="499"/>
      <c r="H208" s="307"/>
      <c r="L208" s="242"/>
      <c r="P208" s="214"/>
    </row>
  </sheetData>
  <mergeCells count="103">
    <mergeCell ref="B206:F206"/>
    <mergeCell ref="E207:F207"/>
    <mergeCell ref="C208:D208"/>
    <mergeCell ref="E208:F208"/>
    <mergeCell ref="C184:D184"/>
    <mergeCell ref="C185:D185"/>
    <mergeCell ref="C186:D186"/>
    <mergeCell ref="C187:D187"/>
    <mergeCell ref="B188:D188"/>
    <mergeCell ref="C189:D189"/>
    <mergeCell ref="B190:D190"/>
    <mergeCell ref="B192:J192"/>
    <mergeCell ref="B204:J204"/>
    <mergeCell ref="B155:J155"/>
    <mergeCell ref="C158:D158"/>
    <mergeCell ref="C159:D159"/>
    <mergeCell ref="B163:D163"/>
    <mergeCell ref="B165:J165"/>
    <mergeCell ref="B177:C177"/>
    <mergeCell ref="B179:J179"/>
    <mergeCell ref="C182:D182"/>
    <mergeCell ref="C183:D183"/>
    <mergeCell ref="B138:J138"/>
    <mergeCell ref="C141:D141"/>
    <mergeCell ref="C142:D142"/>
    <mergeCell ref="B143:D143"/>
    <mergeCell ref="B146:J146"/>
    <mergeCell ref="C149:D149"/>
    <mergeCell ref="C150:D150"/>
    <mergeCell ref="C152:D152"/>
    <mergeCell ref="B153:D153"/>
    <mergeCell ref="C121:D121"/>
    <mergeCell ref="C122:D122"/>
    <mergeCell ref="C123:D123"/>
    <mergeCell ref="C124:D124"/>
    <mergeCell ref="B125:D125"/>
    <mergeCell ref="B127:J127"/>
    <mergeCell ref="C130:D130"/>
    <mergeCell ref="C133:D133"/>
    <mergeCell ref="B134:D134"/>
    <mergeCell ref="C107:D107"/>
    <mergeCell ref="C108:D108"/>
    <mergeCell ref="C109:D109"/>
    <mergeCell ref="B110:D110"/>
    <mergeCell ref="B112:J112"/>
    <mergeCell ref="B114:J114"/>
    <mergeCell ref="C115:D115"/>
    <mergeCell ref="C117:D117"/>
    <mergeCell ref="C118:D118"/>
    <mergeCell ref="C94:D94"/>
    <mergeCell ref="C95:D95"/>
    <mergeCell ref="C96:D96"/>
    <mergeCell ref="B97:D97"/>
    <mergeCell ref="B100:J100"/>
    <mergeCell ref="C103:D103"/>
    <mergeCell ref="C104:D104"/>
    <mergeCell ref="C105:D105"/>
    <mergeCell ref="C106:D106"/>
    <mergeCell ref="C81:D81"/>
    <mergeCell ref="C82:D82"/>
    <mergeCell ref="C83:D83"/>
    <mergeCell ref="C84:D84"/>
    <mergeCell ref="C85:D85"/>
    <mergeCell ref="C86:D86"/>
    <mergeCell ref="B87:D87"/>
    <mergeCell ref="B90:J90"/>
    <mergeCell ref="C93:D93"/>
    <mergeCell ref="C55:D55"/>
    <mergeCell ref="C56:D56"/>
    <mergeCell ref="B57:D57"/>
    <mergeCell ref="B60:J60"/>
    <mergeCell ref="B72:C72"/>
    <mergeCell ref="B75:J75"/>
    <mergeCell ref="C78:D78"/>
    <mergeCell ref="C79:D79"/>
    <mergeCell ref="C80:D80"/>
    <mergeCell ref="C41:D41"/>
    <mergeCell ref="C42:D42"/>
    <mergeCell ref="C43:D43"/>
    <mergeCell ref="C44:D44"/>
    <mergeCell ref="C45:D45"/>
    <mergeCell ref="B46:D46"/>
    <mergeCell ref="B49:J49"/>
    <mergeCell ref="B51:J51"/>
    <mergeCell ref="C54:D54"/>
    <mergeCell ref="C29:D29"/>
    <mergeCell ref="C30:D30"/>
    <mergeCell ref="C31:D31"/>
    <mergeCell ref="C32:D32"/>
    <mergeCell ref="C33:D33"/>
    <mergeCell ref="B35:J35"/>
    <mergeCell ref="C38:D38"/>
    <mergeCell ref="C39:D39"/>
    <mergeCell ref="C40:D40"/>
    <mergeCell ref="B3:I3"/>
    <mergeCell ref="B5:J5"/>
    <mergeCell ref="B7:D7"/>
    <mergeCell ref="B13:D13"/>
    <mergeCell ref="B14:C14"/>
    <mergeCell ref="B22:J22"/>
    <mergeCell ref="B26:J26"/>
    <mergeCell ref="C27:D27"/>
    <mergeCell ref="C28:D28"/>
  </mergeCells>
  <printOptions horizontalCentered="1"/>
  <pageMargins left="0.23611111111111099" right="0.23611111111111099" top="0.74861111111111101" bottom="0.74861111111111101" header="0.31527777777777799" footer="0.31527777777777799"/>
  <pageSetup paperSize="9" scale="75" firstPageNumber="0" orientation="landscape" horizontalDpi="300" verticalDpi="300"/>
  <headerFooter>
    <oddHeader>&amp;C&amp;A</oddHeader>
    <oddFooter>&amp;L&amp;Z&amp;F&amp;R&amp;P /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218"/>
  <sheetViews>
    <sheetView showGridLines="0" topLeftCell="A178" zoomScale="60" zoomScaleNormal="60" workbookViewId="0">
      <selection activeCell="R185" sqref="R185"/>
    </sheetView>
  </sheetViews>
  <sheetFormatPr defaultColWidth="9.140625" defaultRowHeight="15.75" x14ac:dyDescent="0.25"/>
  <cols>
    <col min="1" max="1" width="1.7109375" style="213" customWidth="1"/>
    <col min="2" max="2" width="16.7109375" style="214" customWidth="1"/>
    <col min="3" max="3" width="52.5703125" style="214" customWidth="1"/>
    <col min="4" max="4" width="21.7109375" style="214" customWidth="1"/>
    <col min="5" max="10" width="19.7109375" style="214" customWidth="1"/>
    <col min="11" max="13" width="9.140625" style="214"/>
    <col min="14" max="14" width="12.28515625" style="214" customWidth="1"/>
    <col min="15" max="15" width="9.140625" style="214"/>
    <col min="16" max="1024" width="9.140625" style="213"/>
  </cols>
  <sheetData>
    <row r="1" spans="1:10" ht="18.75" customHeight="1" x14ac:dyDescent="0.25">
      <c r="B1" s="215" t="s">
        <v>441</v>
      </c>
    </row>
    <row r="2" spans="1:10" ht="18.75" customHeight="1" x14ac:dyDescent="0.25">
      <c r="B2" s="216" t="s">
        <v>223</v>
      </c>
    </row>
    <row r="3" spans="1:10" ht="18.75" customHeight="1" x14ac:dyDescent="0.25">
      <c r="B3" s="216" t="s">
        <v>442</v>
      </c>
    </row>
    <row r="4" spans="1:10" ht="18.75" customHeight="1" x14ac:dyDescent="0.25">
      <c r="B4" s="217" t="s">
        <v>225</v>
      </c>
    </row>
    <row r="5" spans="1:10" ht="27.75" x14ac:dyDescent="0.4">
      <c r="A5" s="509" t="s">
        <v>443</v>
      </c>
      <c r="B5" s="509"/>
      <c r="C5" s="509"/>
      <c r="D5" s="509"/>
      <c r="E5" s="509"/>
      <c r="F5" s="509"/>
      <c r="G5" s="509"/>
      <c r="H5" s="509"/>
      <c r="I5" s="509"/>
      <c r="J5" s="509"/>
    </row>
    <row r="6" spans="1:10" ht="33" customHeight="1" x14ac:dyDescent="0.35">
      <c r="B6" s="482" t="s">
        <v>0</v>
      </c>
      <c r="C6" s="482"/>
      <c r="D6" s="482"/>
      <c r="E6" s="482"/>
      <c r="F6" s="482"/>
      <c r="G6" s="482"/>
      <c r="H6" s="482"/>
      <c r="I6" s="482"/>
      <c r="J6" s="482"/>
    </row>
    <row r="7" spans="1:10" x14ac:dyDescent="0.25">
      <c r="B7" s="454" t="s">
        <v>444</v>
      </c>
      <c r="C7" s="454"/>
      <c r="D7" s="454"/>
      <c r="E7" s="454"/>
    </row>
    <row r="9" spans="1:10" x14ac:dyDescent="0.25">
      <c r="B9" s="9" t="s">
        <v>226</v>
      </c>
      <c r="C9" s="9"/>
      <c r="D9" s="9"/>
    </row>
    <row r="10" spans="1:10" ht="6" customHeight="1" x14ac:dyDescent="0.25"/>
    <row r="11" spans="1:10" ht="27" customHeight="1" x14ac:dyDescent="0.25">
      <c r="B11" s="219" t="s">
        <v>227</v>
      </c>
      <c r="C11" s="220" t="s">
        <v>228</v>
      </c>
      <c r="D11" s="221"/>
    </row>
    <row r="12" spans="1:10" ht="27" customHeight="1" x14ac:dyDescent="0.25">
      <c r="B12" s="222" t="s">
        <v>229</v>
      </c>
      <c r="C12" s="223" t="s">
        <v>230</v>
      </c>
      <c r="D12" s="224" t="s">
        <v>231</v>
      </c>
    </row>
    <row r="13" spans="1:10" ht="27" customHeight="1" x14ac:dyDescent="0.25">
      <c r="B13" s="222" t="s">
        <v>232</v>
      </c>
      <c r="C13" s="223" t="s">
        <v>233</v>
      </c>
      <c r="D13" s="225">
        <v>2018</v>
      </c>
    </row>
    <row r="14" spans="1:10" ht="27" customHeight="1" x14ac:dyDescent="0.25">
      <c r="B14" s="222" t="s">
        <v>234</v>
      </c>
      <c r="C14" s="223" t="s">
        <v>235</v>
      </c>
      <c r="D14" s="226">
        <v>12</v>
      </c>
    </row>
    <row r="15" spans="1:10" ht="22.5" customHeight="1" x14ac:dyDescent="0.25"/>
    <row r="16" spans="1:10" x14ac:dyDescent="0.25">
      <c r="B16" s="9" t="s">
        <v>236</v>
      </c>
      <c r="C16" s="9"/>
      <c r="D16" s="9"/>
    </row>
    <row r="17" spans="2:17" ht="6.75" customHeight="1" x14ac:dyDescent="0.25"/>
    <row r="18" spans="2:17" ht="32.25" customHeight="1" x14ac:dyDescent="0.25">
      <c r="B18" s="483" t="s">
        <v>237</v>
      </c>
      <c r="C18" s="483"/>
      <c r="D18" s="221" t="s">
        <v>238</v>
      </c>
      <c r="E18" s="221" t="s">
        <v>239</v>
      </c>
      <c r="F18" s="228"/>
      <c r="P18" s="214"/>
    </row>
    <row r="19" spans="2:17" ht="21.75" customHeight="1" x14ac:dyDescent="0.25">
      <c r="B19" s="229" t="s">
        <v>240</v>
      </c>
      <c r="C19" s="230"/>
      <c r="D19" s="231" t="s">
        <v>241</v>
      </c>
      <c r="E19" s="226">
        <v>99</v>
      </c>
      <c r="P19" s="214"/>
    </row>
    <row r="20" spans="2:17" ht="21.75" customHeight="1" x14ac:dyDescent="0.25">
      <c r="B20" s="229" t="s">
        <v>242</v>
      </c>
      <c r="C20" s="230"/>
      <c r="D20" s="231" t="s">
        <v>241</v>
      </c>
      <c r="E20" s="226">
        <v>5</v>
      </c>
      <c r="P20" s="214"/>
    </row>
    <row r="21" spans="2:17" ht="21.75" customHeight="1" x14ac:dyDescent="0.25">
      <c r="B21" s="232" t="s">
        <v>243</v>
      </c>
      <c r="C21" s="233"/>
      <c r="D21" s="231" t="s">
        <v>241</v>
      </c>
      <c r="E21" s="226">
        <v>5</v>
      </c>
      <c r="P21" s="214"/>
    </row>
    <row r="22" spans="2:17" ht="21.75" customHeight="1" x14ac:dyDescent="0.25">
      <c r="B22" s="232" t="s">
        <v>244</v>
      </c>
      <c r="C22" s="233"/>
      <c r="D22" s="231" t="s">
        <v>241</v>
      </c>
      <c r="E22" s="226">
        <v>1</v>
      </c>
      <c r="P22" s="214"/>
    </row>
    <row r="23" spans="2:17" ht="21.75" customHeight="1" x14ac:dyDescent="0.25">
      <c r="B23" s="232" t="s">
        <v>245</v>
      </c>
      <c r="C23" s="233"/>
      <c r="D23" s="231" t="s">
        <v>241</v>
      </c>
      <c r="E23" s="226"/>
      <c r="P23" s="214"/>
    </row>
    <row r="24" spans="2:17" ht="21.75" customHeight="1" x14ac:dyDescent="0.25">
      <c r="B24" s="232" t="s">
        <v>246</v>
      </c>
      <c r="C24" s="233"/>
      <c r="D24" s="231" t="s">
        <v>241</v>
      </c>
      <c r="E24" s="226"/>
      <c r="P24" s="214"/>
    </row>
    <row r="25" spans="2:17" x14ac:dyDescent="0.25">
      <c r="B25" s="234"/>
      <c r="C25" s="234"/>
      <c r="D25" s="235"/>
      <c r="E25" s="236"/>
      <c r="P25" s="214"/>
    </row>
    <row r="26" spans="2:17" x14ac:dyDescent="0.25">
      <c r="B26" s="234"/>
      <c r="C26" s="234"/>
      <c r="D26" s="235"/>
      <c r="E26" s="236"/>
      <c r="P26" s="214"/>
    </row>
    <row r="27" spans="2:17" x14ac:dyDescent="0.25">
      <c r="B27" s="484" t="s">
        <v>247</v>
      </c>
      <c r="C27" s="484"/>
      <c r="D27" s="484"/>
      <c r="E27" s="484"/>
      <c r="F27" s="484"/>
      <c r="G27" s="484"/>
      <c r="H27" s="484"/>
      <c r="I27" s="484"/>
      <c r="J27" s="484"/>
    </row>
    <row r="28" spans="2:17" ht="11.25" customHeight="1" x14ac:dyDescent="0.25"/>
    <row r="29" spans="2:17" x14ac:dyDescent="0.25">
      <c r="B29" s="214" t="s">
        <v>248</v>
      </c>
    </row>
    <row r="30" spans="2:17" x14ac:dyDescent="0.25">
      <c r="B30" s="214" t="s">
        <v>249</v>
      </c>
    </row>
    <row r="31" spans="2:17" ht="27" customHeight="1" x14ac:dyDescent="0.25">
      <c r="B31" s="485" t="s">
        <v>250</v>
      </c>
      <c r="C31" s="485"/>
      <c r="D31" s="485"/>
      <c r="E31" s="485"/>
      <c r="F31" s="485"/>
      <c r="G31" s="485"/>
      <c r="H31" s="485"/>
      <c r="I31" s="485"/>
      <c r="J31" s="485"/>
      <c r="P31" s="214"/>
      <c r="Q31" s="214"/>
    </row>
    <row r="32" spans="2:17" ht="31.5" customHeight="1" x14ac:dyDescent="0.25">
      <c r="B32" s="219">
        <v>1</v>
      </c>
      <c r="C32" s="486" t="s">
        <v>251</v>
      </c>
      <c r="D32" s="486"/>
      <c r="E32" s="239" t="s">
        <v>240</v>
      </c>
      <c r="F32" s="239" t="s">
        <v>242</v>
      </c>
      <c r="G32" s="239" t="s">
        <v>243</v>
      </c>
      <c r="H32" s="239" t="s">
        <v>244</v>
      </c>
      <c r="I32" s="239" t="s">
        <v>245</v>
      </c>
      <c r="J32" s="239" t="s">
        <v>246</v>
      </c>
      <c r="P32" s="214"/>
      <c r="Q32" s="214"/>
    </row>
    <row r="33" spans="2:17" ht="23.25" customHeight="1" x14ac:dyDescent="0.25">
      <c r="B33" s="222">
        <v>2</v>
      </c>
      <c r="C33" s="486" t="s">
        <v>252</v>
      </c>
      <c r="D33" s="486"/>
      <c r="E33" s="224"/>
      <c r="F33" s="224"/>
      <c r="G33" s="224"/>
      <c r="H33" s="224"/>
      <c r="I33" s="224"/>
      <c r="J33" s="224"/>
      <c r="P33" s="214"/>
      <c r="Q33" s="214"/>
    </row>
    <row r="34" spans="2:17" ht="26.25" customHeight="1" x14ac:dyDescent="0.25">
      <c r="B34" s="222">
        <v>3</v>
      </c>
      <c r="C34" s="486" t="s">
        <v>254</v>
      </c>
      <c r="D34" s="486"/>
      <c r="E34" s="240">
        <v>1084</v>
      </c>
      <c r="F34" s="240">
        <v>1084</v>
      </c>
      <c r="G34" s="240">
        <v>1084</v>
      </c>
      <c r="H34" s="240">
        <v>1084</v>
      </c>
      <c r="I34" s="240" t="s">
        <v>255</v>
      </c>
      <c r="J34" s="240" t="s">
        <v>255</v>
      </c>
      <c r="P34" s="214"/>
      <c r="Q34" s="214"/>
    </row>
    <row r="35" spans="2:17" ht="24.75" customHeight="1" x14ac:dyDescent="0.25">
      <c r="B35" s="222">
        <v>4</v>
      </c>
      <c r="C35" s="486" t="s">
        <v>256</v>
      </c>
      <c r="D35" s="486"/>
      <c r="E35" s="455"/>
      <c r="F35" s="224"/>
      <c r="G35" s="224"/>
      <c r="H35" s="455"/>
      <c r="I35" s="224"/>
      <c r="J35" s="224"/>
      <c r="P35" s="214"/>
      <c r="Q35" s="214"/>
    </row>
    <row r="36" spans="2:17" ht="26.25" customHeight="1" x14ac:dyDescent="0.25">
      <c r="B36" s="222">
        <v>5</v>
      </c>
      <c r="C36" s="486" t="s">
        <v>258</v>
      </c>
      <c r="D36" s="486"/>
      <c r="E36" s="224"/>
      <c r="F36" s="224"/>
      <c r="G36" s="224"/>
      <c r="H36" s="224"/>
      <c r="I36" s="224"/>
      <c r="J36" s="224"/>
      <c r="P36" s="214"/>
      <c r="Q36" s="214"/>
    </row>
    <row r="37" spans="2:17" x14ac:dyDescent="0.25">
      <c r="B37" s="222"/>
      <c r="C37" s="486"/>
      <c r="D37" s="486"/>
      <c r="E37" s="240"/>
      <c r="F37" s="224"/>
      <c r="G37" s="224"/>
      <c r="H37" s="240"/>
      <c r="I37" s="224"/>
      <c r="J37" s="224"/>
      <c r="P37" s="214"/>
      <c r="Q37" s="214"/>
    </row>
    <row r="38" spans="2:17" x14ac:dyDescent="0.25">
      <c r="B38" s="222"/>
      <c r="C38" s="486"/>
      <c r="D38" s="486"/>
      <c r="E38" s="224"/>
      <c r="F38" s="224"/>
      <c r="G38" s="224"/>
      <c r="H38" s="224"/>
      <c r="I38" s="224"/>
      <c r="J38" s="224"/>
      <c r="P38" s="214"/>
      <c r="Q38" s="214"/>
    </row>
    <row r="40" spans="2:17" x14ac:dyDescent="0.25">
      <c r="B40" s="487" t="s">
        <v>261</v>
      </c>
      <c r="C40" s="487"/>
      <c r="D40" s="487"/>
      <c r="E40" s="487"/>
      <c r="F40" s="487"/>
      <c r="G40" s="487"/>
      <c r="H40" s="487"/>
      <c r="I40" s="487"/>
      <c r="J40" s="487"/>
    </row>
    <row r="42" spans="2:17" ht="31.5" x14ac:dyDescent="0.25">
      <c r="E42" s="227" t="s">
        <v>240</v>
      </c>
      <c r="F42" s="227" t="s">
        <v>242</v>
      </c>
      <c r="G42" s="239" t="s">
        <v>243</v>
      </c>
      <c r="H42" s="239" t="s">
        <v>244</v>
      </c>
      <c r="I42" s="239" t="s">
        <v>245</v>
      </c>
      <c r="J42" s="239" t="s">
        <v>246</v>
      </c>
    </row>
    <row r="43" spans="2:17" ht="16.5" customHeight="1" x14ac:dyDescent="0.25">
      <c r="B43" s="227">
        <v>1</v>
      </c>
      <c r="C43" s="483" t="s">
        <v>262</v>
      </c>
      <c r="D43" s="483"/>
      <c r="E43" s="221" t="s">
        <v>263</v>
      </c>
      <c r="F43" s="221" t="s">
        <v>263</v>
      </c>
      <c r="G43" s="221" t="s">
        <v>263</v>
      </c>
      <c r="H43" s="221" t="s">
        <v>263</v>
      </c>
      <c r="I43" s="221" t="s">
        <v>263</v>
      </c>
      <c r="J43" s="221" t="s">
        <v>263</v>
      </c>
      <c r="P43" s="214"/>
    </row>
    <row r="44" spans="2:17" ht="16.5" customHeight="1" x14ac:dyDescent="0.25">
      <c r="B44" s="222" t="s">
        <v>227</v>
      </c>
      <c r="C44" s="486" t="s">
        <v>264</v>
      </c>
      <c r="D44" s="486"/>
      <c r="E44" s="240">
        <f t="shared" ref="E44:J44" si="0">E34</f>
        <v>1084</v>
      </c>
      <c r="F44" s="240">
        <f t="shared" si="0"/>
        <v>1084</v>
      </c>
      <c r="G44" s="240">
        <f t="shared" si="0"/>
        <v>1084</v>
      </c>
      <c r="H44" s="240">
        <f t="shared" si="0"/>
        <v>1084</v>
      </c>
      <c r="I44" s="240" t="str">
        <f t="shared" si="0"/>
        <v>1084*</v>
      </c>
      <c r="J44" s="240" t="str">
        <f t="shared" si="0"/>
        <v>1084*</v>
      </c>
      <c r="L44" s="242"/>
      <c r="P44" s="214"/>
    </row>
    <row r="45" spans="2:17" ht="16.5" customHeight="1" x14ac:dyDescent="0.25">
      <c r="B45" s="222" t="s">
        <v>229</v>
      </c>
      <c r="C45" s="486" t="s">
        <v>265</v>
      </c>
      <c r="D45" s="486"/>
      <c r="E45" s="224">
        <f t="shared" ref="E45:J45" si="1">E44*30%</f>
        <v>325.2</v>
      </c>
      <c r="F45" s="224">
        <f t="shared" si="1"/>
        <v>325.2</v>
      </c>
      <c r="G45" s="224">
        <f t="shared" si="1"/>
        <v>325.2</v>
      </c>
      <c r="H45" s="224">
        <f t="shared" si="1"/>
        <v>325.2</v>
      </c>
      <c r="I45" s="224" t="e">
        <f t="shared" si="1"/>
        <v>#VALUE!</v>
      </c>
      <c r="J45" s="224" t="e">
        <f t="shared" si="1"/>
        <v>#VALUE!</v>
      </c>
      <c r="L45" s="242"/>
      <c r="P45" s="214"/>
    </row>
    <row r="46" spans="2:17" ht="16.5" customHeight="1" x14ac:dyDescent="0.25">
      <c r="B46" s="222" t="s">
        <v>232</v>
      </c>
      <c r="C46" s="486" t="s">
        <v>266</v>
      </c>
      <c r="D46" s="486"/>
      <c r="E46" s="224"/>
      <c r="F46" s="224"/>
      <c r="G46" s="224"/>
      <c r="H46" s="224"/>
      <c r="I46" s="224"/>
      <c r="J46" s="224"/>
      <c r="L46" s="242"/>
      <c r="P46" s="214"/>
    </row>
    <row r="47" spans="2:17" ht="16.5" customHeight="1" x14ac:dyDescent="0.25">
      <c r="B47" s="222" t="s">
        <v>234</v>
      </c>
      <c r="C47" s="486" t="s">
        <v>34</v>
      </c>
      <c r="D47" s="486"/>
      <c r="E47" s="224"/>
      <c r="F47" s="224"/>
      <c r="G47" s="224">
        <f>((G45+G44)*7/12*35%)</f>
        <v>287.71166666666664</v>
      </c>
      <c r="H47" s="224"/>
      <c r="I47" s="224"/>
      <c r="J47" s="224" t="e">
        <f>((J45+J44)*7/12*35%)</f>
        <v>#VALUE!</v>
      </c>
      <c r="L47" s="242"/>
      <c r="P47" s="214"/>
    </row>
    <row r="48" spans="2:17" ht="16.5" customHeight="1" x14ac:dyDescent="0.25">
      <c r="B48" s="222" t="s">
        <v>267</v>
      </c>
      <c r="C48" s="486" t="s">
        <v>268</v>
      </c>
      <c r="D48" s="486"/>
      <c r="E48" s="224"/>
      <c r="F48" s="224"/>
      <c r="G48" s="224">
        <f>((G44+G45)*8.33%*1.35)</f>
        <v>158.471586</v>
      </c>
      <c r="H48" s="224"/>
      <c r="I48" s="224"/>
      <c r="J48" s="224" t="e">
        <f>((J44+J45)*8.33%*1.35)</f>
        <v>#VALUE!</v>
      </c>
      <c r="L48" s="242"/>
      <c r="P48" s="214"/>
    </row>
    <row r="49" spans="2:16" ht="16.5" customHeight="1" x14ac:dyDescent="0.25">
      <c r="B49" s="222" t="s">
        <v>269</v>
      </c>
      <c r="C49" s="486" t="s">
        <v>41</v>
      </c>
      <c r="D49" s="486"/>
      <c r="E49" s="224"/>
      <c r="F49" s="224"/>
      <c r="G49" s="224"/>
      <c r="H49" s="224">
        <f>H44*50%</f>
        <v>542</v>
      </c>
      <c r="I49" s="224" t="e">
        <f>I44*50%</f>
        <v>#VALUE!</v>
      </c>
      <c r="J49" s="224" t="e">
        <f>J44*50%</f>
        <v>#VALUE!</v>
      </c>
      <c r="L49" s="242"/>
      <c r="P49" s="214"/>
    </row>
    <row r="50" spans="2:16" ht="16.5" customHeight="1" x14ac:dyDescent="0.25">
      <c r="B50" s="222" t="s">
        <v>270</v>
      </c>
      <c r="C50" s="486" t="s">
        <v>271</v>
      </c>
      <c r="D50" s="486"/>
      <c r="E50" s="224"/>
      <c r="F50" s="224"/>
      <c r="G50" s="224"/>
      <c r="H50" s="224"/>
      <c r="I50" s="224"/>
      <c r="J50" s="224"/>
      <c r="L50" s="242"/>
      <c r="P50" s="214"/>
    </row>
    <row r="51" spans="2:16" ht="16.5" customHeight="1" x14ac:dyDescent="0.25">
      <c r="B51" s="483" t="s">
        <v>44</v>
      </c>
      <c r="C51" s="483"/>
      <c r="D51" s="483"/>
      <c r="E51" s="243">
        <f t="shared" ref="E51:J51" si="2">SUM(E44:E50)</f>
        <v>1409.2</v>
      </c>
      <c r="F51" s="243">
        <f t="shared" si="2"/>
        <v>1409.2</v>
      </c>
      <c r="G51" s="243">
        <f t="shared" si="2"/>
        <v>1855.3832526666665</v>
      </c>
      <c r="H51" s="243">
        <f t="shared" si="2"/>
        <v>1951.2</v>
      </c>
      <c r="I51" s="243" t="e">
        <f t="shared" si="2"/>
        <v>#VALUE!</v>
      </c>
      <c r="J51" s="243" t="e">
        <f t="shared" si="2"/>
        <v>#VALUE!</v>
      </c>
      <c r="L51" s="242"/>
      <c r="P51" s="214"/>
    </row>
    <row r="52" spans="2:16" x14ac:dyDescent="0.25">
      <c r="L52" s="242"/>
    </row>
    <row r="53" spans="2:16" x14ac:dyDescent="0.25">
      <c r="L53" s="242"/>
    </row>
    <row r="54" spans="2:16" x14ac:dyDescent="0.25">
      <c r="B54" s="487" t="s">
        <v>272</v>
      </c>
      <c r="C54" s="487"/>
      <c r="D54" s="487"/>
      <c r="E54" s="487"/>
      <c r="F54" s="487"/>
      <c r="G54" s="487"/>
      <c r="H54" s="487"/>
      <c r="I54" s="487"/>
      <c r="J54" s="487"/>
      <c r="L54" s="242"/>
    </row>
    <row r="55" spans="2:16" x14ac:dyDescent="0.25">
      <c r="B55" s="244"/>
      <c r="L55" s="242"/>
    </row>
    <row r="56" spans="2:16" x14ac:dyDescent="0.25">
      <c r="B56" s="488" t="s">
        <v>273</v>
      </c>
      <c r="C56" s="488"/>
      <c r="D56" s="488"/>
      <c r="E56" s="488"/>
      <c r="F56" s="488"/>
      <c r="G56" s="488"/>
      <c r="H56" s="488"/>
      <c r="I56" s="488"/>
      <c r="J56" s="488"/>
      <c r="L56" s="242"/>
    </row>
    <row r="57" spans="2:16" x14ac:dyDescent="0.25">
      <c r="L57" s="242"/>
    </row>
    <row r="58" spans="2:16" ht="31.5" x14ac:dyDescent="0.25">
      <c r="E58" s="227" t="s">
        <v>240</v>
      </c>
      <c r="F58" s="227" t="s">
        <v>242</v>
      </c>
      <c r="G58" s="239" t="s">
        <v>243</v>
      </c>
      <c r="H58" s="239" t="s">
        <v>244</v>
      </c>
      <c r="I58" s="239" t="s">
        <v>245</v>
      </c>
      <c r="J58" s="239" t="s">
        <v>246</v>
      </c>
      <c r="L58" s="242"/>
    </row>
    <row r="59" spans="2:16" ht="32.25" customHeight="1" x14ac:dyDescent="0.25">
      <c r="B59" s="227" t="s">
        <v>274</v>
      </c>
      <c r="C59" s="483" t="s">
        <v>275</v>
      </c>
      <c r="D59" s="483"/>
      <c r="E59" s="221" t="s">
        <v>263</v>
      </c>
      <c r="F59" s="221" t="s">
        <v>263</v>
      </c>
      <c r="G59" s="221" t="s">
        <v>263</v>
      </c>
      <c r="H59" s="221" t="s">
        <v>263</v>
      </c>
      <c r="I59" s="221" t="s">
        <v>263</v>
      </c>
      <c r="J59" s="221" t="s">
        <v>263</v>
      </c>
      <c r="L59" s="242"/>
      <c r="P59" s="214"/>
    </row>
    <row r="60" spans="2:16" ht="16.5" customHeight="1" x14ac:dyDescent="0.25">
      <c r="B60" s="222" t="s">
        <v>227</v>
      </c>
      <c r="C60" s="486" t="s">
        <v>276</v>
      </c>
      <c r="D60" s="486"/>
      <c r="E60" s="224">
        <f t="shared" ref="E60:J60" si="3">(1/12)*E51</f>
        <v>117.43333333333334</v>
      </c>
      <c r="F60" s="224">
        <f t="shared" si="3"/>
        <v>117.43333333333334</v>
      </c>
      <c r="G60" s="224">
        <f t="shared" si="3"/>
        <v>154.61527105555552</v>
      </c>
      <c r="H60" s="224">
        <f t="shared" si="3"/>
        <v>162.6</v>
      </c>
      <c r="I60" s="224" t="e">
        <f t="shared" si="3"/>
        <v>#VALUE!</v>
      </c>
      <c r="J60" s="224" t="e">
        <f t="shared" si="3"/>
        <v>#VALUE!</v>
      </c>
      <c r="L60" s="242"/>
      <c r="P60" s="214"/>
    </row>
    <row r="61" spans="2:16" ht="16.5" customHeight="1" x14ac:dyDescent="0.25">
      <c r="B61" s="222" t="s">
        <v>229</v>
      </c>
      <c r="C61" s="486" t="s">
        <v>277</v>
      </c>
      <c r="D61" s="486"/>
      <c r="E61" s="224">
        <f t="shared" ref="E61:J61" si="4">((1/12)+((1/3)/12))*E51</f>
        <v>156.57777777777778</v>
      </c>
      <c r="F61" s="224">
        <f t="shared" si="4"/>
        <v>156.57777777777778</v>
      </c>
      <c r="G61" s="224">
        <f t="shared" si="4"/>
        <v>206.15369474074072</v>
      </c>
      <c r="H61" s="224">
        <f t="shared" si="4"/>
        <v>216.79999999999998</v>
      </c>
      <c r="I61" s="224" t="e">
        <f t="shared" si="4"/>
        <v>#VALUE!</v>
      </c>
      <c r="J61" s="224" t="e">
        <f t="shared" si="4"/>
        <v>#VALUE!</v>
      </c>
      <c r="L61" s="242"/>
      <c r="P61" s="214"/>
    </row>
    <row r="62" spans="2:16" ht="16.5" customHeight="1" x14ac:dyDescent="0.25">
      <c r="B62" s="483" t="s">
        <v>44</v>
      </c>
      <c r="C62" s="483"/>
      <c r="D62" s="483"/>
      <c r="E62" s="246">
        <f t="shared" ref="E62:J62" si="5">SUM(E60:E61)</f>
        <v>274.01111111111112</v>
      </c>
      <c r="F62" s="246">
        <f t="shared" si="5"/>
        <v>274.01111111111112</v>
      </c>
      <c r="G62" s="246">
        <f t="shared" si="5"/>
        <v>360.76896579629624</v>
      </c>
      <c r="H62" s="246">
        <f t="shared" si="5"/>
        <v>379.4</v>
      </c>
      <c r="I62" s="246" t="e">
        <f t="shared" si="5"/>
        <v>#VALUE!</v>
      </c>
      <c r="J62" s="246" t="e">
        <f t="shared" si="5"/>
        <v>#VALUE!</v>
      </c>
      <c r="L62" s="242"/>
      <c r="P62" s="214"/>
    </row>
    <row r="63" spans="2:16" x14ac:dyDescent="0.25">
      <c r="L63" s="242"/>
    </row>
    <row r="64" spans="2:16" x14ac:dyDescent="0.25">
      <c r="L64" s="242"/>
    </row>
    <row r="65" spans="2:12" ht="24.75" customHeight="1" x14ac:dyDescent="0.25">
      <c r="B65" s="489" t="s">
        <v>278</v>
      </c>
      <c r="C65" s="489"/>
      <c r="D65" s="489"/>
      <c r="E65" s="489"/>
      <c r="F65" s="489"/>
      <c r="G65" s="489"/>
      <c r="H65" s="489"/>
      <c r="I65" s="489"/>
      <c r="J65" s="489"/>
      <c r="L65" s="242"/>
    </row>
    <row r="66" spans="2:12" x14ac:dyDescent="0.25">
      <c r="L66" s="242"/>
    </row>
    <row r="67" spans="2:12" ht="31.5" x14ac:dyDescent="0.25">
      <c r="E67" s="227" t="s">
        <v>240</v>
      </c>
      <c r="F67" s="227" t="s">
        <v>242</v>
      </c>
      <c r="G67" s="239" t="s">
        <v>243</v>
      </c>
      <c r="H67" s="239" t="s">
        <v>244</v>
      </c>
      <c r="I67" s="239" t="s">
        <v>245</v>
      </c>
      <c r="J67" s="239" t="s">
        <v>246</v>
      </c>
      <c r="L67" s="242"/>
    </row>
    <row r="68" spans="2:12" ht="21.75" customHeight="1" x14ac:dyDescent="0.25">
      <c r="B68" s="227" t="s">
        <v>279</v>
      </c>
      <c r="C68" s="221" t="s">
        <v>280</v>
      </c>
      <c r="D68" s="221" t="s">
        <v>281</v>
      </c>
      <c r="E68" s="221" t="s">
        <v>263</v>
      </c>
      <c r="F68" s="221" t="s">
        <v>263</v>
      </c>
      <c r="G68" s="221" t="s">
        <v>263</v>
      </c>
      <c r="H68" s="221" t="s">
        <v>263</v>
      </c>
      <c r="I68" s="221" t="s">
        <v>263</v>
      </c>
      <c r="J68" s="221" t="s">
        <v>263</v>
      </c>
      <c r="L68" s="242"/>
    </row>
    <row r="69" spans="2:12" x14ac:dyDescent="0.25">
      <c r="B69" s="222" t="s">
        <v>227</v>
      </c>
      <c r="C69" s="223" t="s">
        <v>282</v>
      </c>
      <c r="D69" s="248">
        <v>0.2</v>
      </c>
      <c r="E69" s="224">
        <f t="shared" ref="E69:E76" si="6">($E$62+$E$51)*D69</f>
        <v>336.64222222222224</v>
      </c>
      <c r="F69" s="224">
        <f t="shared" ref="F69:F76" si="7">($F$62+$E$51)*D69</f>
        <v>336.64222222222224</v>
      </c>
      <c r="G69" s="224">
        <f t="shared" ref="G69:G76" si="8">($G$62+$E$51)*D69</f>
        <v>353.99379315925927</v>
      </c>
      <c r="H69" s="224">
        <f t="shared" ref="H69:H76" si="9">($H$62+$E$51)*D69</f>
        <v>357.72</v>
      </c>
      <c r="I69" s="224" t="e">
        <f t="shared" ref="I69:I76" si="10">($I$62+$E$51)*D69</f>
        <v>#VALUE!</v>
      </c>
      <c r="J69" s="224" t="e">
        <f t="shared" ref="J69:J76" si="11">($J$62+$E$51)*D69</f>
        <v>#VALUE!</v>
      </c>
      <c r="L69" s="242"/>
    </row>
    <row r="70" spans="2:12" x14ac:dyDescent="0.25">
      <c r="B70" s="222" t="s">
        <v>229</v>
      </c>
      <c r="C70" s="223" t="s">
        <v>283</v>
      </c>
      <c r="D70" s="248">
        <v>2.5000000000000001E-2</v>
      </c>
      <c r="E70" s="224">
        <f t="shared" si="6"/>
        <v>42.080277777777781</v>
      </c>
      <c r="F70" s="224">
        <f t="shared" si="7"/>
        <v>42.080277777777781</v>
      </c>
      <c r="G70" s="224">
        <f t="shared" si="8"/>
        <v>44.249224144907409</v>
      </c>
      <c r="H70" s="224">
        <f t="shared" si="9"/>
        <v>44.715000000000003</v>
      </c>
      <c r="I70" s="224" t="e">
        <f t="shared" si="10"/>
        <v>#VALUE!</v>
      </c>
      <c r="J70" s="224" t="e">
        <f t="shared" si="11"/>
        <v>#VALUE!</v>
      </c>
      <c r="L70" s="242"/>
    </row>
    <row r="71" spans="2:12" x14ac:dyDescent="0.25">
      <c r="B71" s="222" t="s">
        <v>232</v>
      </c>
      <c r="C71" s="223" t="s">
        <v>284</v>
      </c>
      <c r="D71" s="248">
        <v>0.03</v>
      </c>
      <c r="E71" s="224">
        <f t="shared" si="6"/>
        <v>50.496333333333332</v>
      </c>
      <c r="F71" s="224">
        <f t="shared" si="7"/>
        <v>50.496333333333332</v>
      </c>
      <c r="G71" s="224">
        <f t="shared" si="8"/>
        <v>53.099068973888883</v>
      </c>
      <c r="H71" s="224">
        <f t="shared" si="9"/>
        <v>53.657999999999994</v>
      </c>
      <c r="I71" s="224" t="e">
        <f t="shared" si="10"/>
        <v>#VALUE!</v>
      </c>
      <c r="J71" s="224" t="e">
        <f t="shared" si="11"/>
        <v>#VALUE!</v>
      </c>
      <c r="L71" s="242"/>
    </row>
    <row r="72" spans="2:12" x14ac:dyDescent="0.25">
      <c r="B72" s="222" t="s">
        <v>234</v>
      </c>
      <c r="C72" s="223" t="s">
        <v>285</v>
      </c>
      <c r="D72" s="248">
        <v>1.4999999999999999E-2</v>
      </c>
      <c r="E72" s="224">
        <f t="shared" si="6"/>
        <v>25.248166666666666</v>
      </c>
      <c r="F72" s="224">
        <f t="shared" si="7"/>
        <v>25.248166666666666</v>
      </c>
      <c r="G72" s="224">
        <f t="shared" si="8"/>
        <v>26.549534486944442</v>
      </c>
      <c r="H72" s="224">
        <f t="shared" si="9"/>
        <v>26.828999999999997</v>
      </c>
      <c r="I72" s="224" t="e">
        <f t="shared" si="10"/>
        <v>#VALUE!</v>
      </c>
      <c r="J72" s="224" t="e">
        <f t="shared" si="11"/>
        <v>#VALUE!</v>
      </c>
      <c r="L72" s="242"/>
    </row>
    <row r="73" spans="2:12" x14ac:dyDescent="0.25">
      <c r="B73" s="222" t="s">
        <v>267</v>
      </c>
      <c r="C73" s="223" t="s">
        <v>286</v>
      </c>
      <c r="D73" s="248">
        <v>0.01</v>
      </c>
      <c r="E73" s="224">
        <f t="shared" si="6"/>
        <v>16.832111111111111</v>
      </c>
      <c r="F73" s="224">
        <f t="shared" si="7"/>
        <v>16.832111111111111</v>
      </c>
      <c r="G73" s="224">
        <f t="shared" si="8"/>
        <v>17.699689657962963</v>
      </c>
      <c r="H73" s="224">
        <f t="shared" si="9"/>
        <v>17.885999999999999</v>
      </c>
      <c r="I73" s="224" t="e">
        <f t="shared" si="10"/>
        <v>#VALUE!</v>
      </c>
      <c r="J73" s="224" t="e">
        <f t="shared" si="11"/>
        <v>#VALUE!</v>
      </c>
      <c r="L73" s="242"/>
    </row>
    <row r="74" spans="2:12" x14ac:dyDescent="0.25">
      <c r="B74" s="222" t="s">
        <v>269</v>
      </c>
      <c r="C74" s="223" t="s">
        <v>64</v>
      </c>
      <c r="D74" s="248">
        <v>6.0000000000000001E-3</v>
      </c>
      <c r="E74" s="224">
        <f t="shared" si="6"/>
        <v>10.099266666666667</v>
      </c>
      <c r="F74" s="224">
        <f t="shared" si="7"/>
        <v>10.099266666666667</v>
      </c>
      <c r="G74" s="224">
        <f t="shared" si="8"/>
        <v>10.619813794777778</v>
      </c>
      <c r="H74" s="224">
        <f t="shared" si="9"/>
        <v>10.7316</v>
      </c>
      <c r="I74" s="224" t="e">
        <f t="shared" si="10"/>
        <v>#VALUE!</v>
      </c>
      <c r="J74" s="224" t="e">
        <f t="shared" si="11"/>
        <v>#VALUE!</v>
      </c>
      <c r="L74" s="242"/>
    </row>
    <row r="75" spans="2:12" x14ac:dyDescent="0.25">
      <c r="B75" s="222" t="s">
        <v>270</v>
      </c>
      <c r="C75" s="223" t="s">
        <v>65</v>
      </c>
      <c r="D75" s="248">
        <v>2E-3</v>
      </c>
      <c r="E75" s="224">
        <f t="shared" si="6"/>
        <v>3.3664222222222224</v>
      </c>
      <c r="F75" s="224">
        <f t="shared" si="7"/>
        <v>3.3664222222222224</v>
      </c>
      <c r="G75" s="224">
        <f t="shared" si="8"/>
        <v>3.5399379315925925</v>
      </c>
      <c r="H75" s="224">
        <f t="shared" si="9"/>
        <v>3.5771999999999999</v>
      </c>
      <c r="I75" s="224" t="e">
        <f t="shared" si="10"/>
        <v>#VALUE!</v>
      </c>
      <c r="J75" s="224" t="e">
        <f t="shared" si="11"/>
        <v>#VALUE!</v>
      </c>
      <c r="L75" s="242"/>
    </row>
    <row r="76" spans="2:12" x14ac:dyDescent="0.25">
      <c r="B76" s="222" t="s">
        <v>287</v>
      </c>
      <c r="C76" s="223" t="s">
        <v>66</v>
      </c>
      <c r="D76" s="248">
        <v>0.08</v>
      </c>
      <c r="E76" s="224">
        <f t="shared" si="6"/>
        <v>134.65688888888889</v>
      </c>
      <c r="F76" s="224">
        <f t="shared" si="7"/>
        <v>134.65688888888889</v>
      </c>
      <c r="G76" s="224">
        <f t="shared" si="8"/>
        <v>141.59751726370371</v>
      </c>
      <c r="H76" s="224">
        <f t="shared" si="9"/>
        <v>143.08799999999999</v>
      </c>
      <c r="I76" s="224" t="e">
        <f t="shared" si="10"/>
        <v>#VALUE!</v>
      </c>
      <c r="J76" s="224" t="e">
        <f t="shared" si="11"/>
        <v>#VALUE!</v>
      </c>
      <c r="L76" s="242"/>
    </row>
    <row r="77" spans="2:12" ht="24" customHeight="1" x14ac:dyDescent="0.25">
      <c r="B77" s="483" t="s">
        <v>288</v>
      </c>
      <c r="C77" s="483"/>
      <c r="D77" s="249">
        <f t="shared" ref="D77:J77" si="12">SUM(D69:D76)</f>
        <v>0.36800000000000005</v>
      </c>
      <c r="E77" s="243">
        <f t="shared" si="12"/>
        <v>619.42168888888887</v>
      </c>
      <c r="F77" s="243">
        <f t="shared" si="12"/>
        <v>619.42168888888887</v>
      </c>
      <c r="G77" s="243">
        <f t="shared" si="12"/>
        <v>651.34857941303699</v>
      </c>
      <c r="H77" s="243">
        <f t="shared" si="12"/>
        <v>658.20480000000009</v>
      </c>
      <c r="I77" s="243" t="e">
        <f t="shared" si="12"/>
        <v>#VALUE!</v>
      </c>
      <c r="J77" s="243" t="e">
        <f t="shared" si="12"/>
        <v>#VALUE!</v>
      </c>
      <c r="L77" s="242"/>
    </row>
    <row r="78" spans="2:12" x14ac:dyDescent="0.25">
      <c r="L78" s="242"/>
    </row>
    <row r="79" spans="2:12" x14ac:dyDescent="0.25">
      <c r="L79" s="242"/>
    </row>
    <row r="80" spans="2:12" x14ac:dyDescent="0.25">
      <c r="B80" s="488" t="s">
        <v>289</v>
      </c>
      <c r="C80" s="488"/>
      <c r="D80" s="488"/>
      <c r="E80" s="488"/>
      <c r="F80" s="488"/>
      <c r="G80" s="488"/>
      <c r="H80" s="488"/>
      <c r="I80" s="488"/>
      <c r="J80" s="488"/>
      <c r="L80" s="242"/>
    </row>
    <row r="81" spans="2:21" x14ac:dyDescent="0.25">
      <c r="L81" s="242"/>
    </row>
    <row r="82" spans="2:21" ht="31.5" x14ac:dyDescent="0.25">
      <c r="E82" s="227" t="s">
        <v>240</v>
      </c>
      <c r="F82" s="227" t="s">
        <v>242</v>
      </c>
      <c r="G82" s="239" t="s">
        <v>243</v>
      </c>
      <c r="H82" s="239" t="s">
        <v>244</v>
      </c>
      <c r="I82" s="239" t="s">
        <v>245</v>
      </c>
      <c r="J82" s="239" t="s">
        <v>246</v>
      </c>
      <c r="L82" s="242"/>
    </row>
    <row r="83" spans="2:21" ht="16.5" customHeight="1" x14ac:dyDescent="0.25">
      <c r="B83" s="227" t="s">
        <v>290</v>
      </c>
      <c r="C83" s="483" t="s">
        <v>291</v>
      </c>
      <c r="D83" s="483"/>
      <c r="E83" s="250" t="s">
        <v>263</v>
      </c>
      <c r="F83" s="250" t="s">
        <v>263</v>
      </c>
      <c r="G83" s="250" t="s">
        <v>263</v>
      </c>
      <c r="H83" s="250" t="s">
        <v>263</v>
      </c>
      <c r="I83" s="250" t="s">
        <v>263</v>
      </c>
      <c r="J83" s="250" t="s">
        <v>263</v>
      </c>
      <c r="L83" s="242"/>
      <c r="P83" s="214"/>
    </row>
    <row r="84" spans="2:21" ht="16.5" customHeight="1" x14ac:dyDescent="0.25">
      <c r="B84" s="222" t="s">
        <v>227</v>
      </c>
      <c r="C84" s="486" t="s">
        <v>292</v>
      </c>
      <c r="D84" s="486"/>
      <c r="E84" s="251">
        <f>(4*2*22)-E44*0.06</f>
        <v>110.96000000000001</v>
      </c>
      <c r="F84" s="251">
        <f>(4*2*15)-F44*50%*0.06</f>
        <v>87.48</v>
      </c>
      <c r="G84" s="251">
        <f>(4*2*15)-G44*50%*0.06</f>
        <v>87.48</v>
      </c>
      <c r="H84" s="251">
        <f>(4*2*22)-H44*0.06</f>
        <v>110.96000000000001</v>
      </c>
      <c r="I84" s="251" t="e">
        <f>(4*2*15)-I44*50%*0.06</f>
        <v>#VALUE!</v>
      </c>
      <c r="J84" s="251" t="e">
        <f>(4*2*15)-J44*50%*0.06</f>
        <v>#VALUE!</v>
      </c>
      <c r="L84" s="242"/>
      <c r="P84" s="214"/>
    </row>
    <row r="85" spans="2:21" ht="16.5" customHeight="1" x14ac:dyDescent="0.25">
      <c r="B85" s="222" t="s">
        <v>229</v>
      </c>
      <c r="C85" s="486" t="s">
        <v>293</v>
      </c>
      <c r="D85" s="486"/>
      <c r="E85" s="251">
        <f>(13.52*22)-(15%*(13.52*22))</f>
        <v>252.82400000000001</v>
      </c>
      <c r="F85" s="251">
        <f>(13.52*15)-(15%*(13.52*15))</f>
        <v>172.38</v>
      </c>
      <c r="G85" s="251">
        <f>(13.52*15)-(15%*(13.52*15))</f>
        <v>172.38</v>
      </c>
      <c r="H85" s="251">
        <f>(13.52*22)-(15%*(13.52*22))</f>
        <v>252.82400000000001</v>
      </c>
      <c r="I85" s="251">
        <f>(13.52*15)-(15%*(13.52*15))</f>
        <v>172.38</v>
      </c>
      <c r="J85" s="251">
        <f>(13.52*15)-(15%*(13.52*15))</f>
        <v>172.38</v>
      </c>
      <c r="L85" s="242"/>
      <c r="P85" s="214"/>
    </row>
    <row r="86" spans="2:21" ht="16.5" customHeight="1" x14ac:dyDescent="0.25">
      <c r="B86" s="222" t="s">
        <v>232</v>
      </c>
      <c r="C86" s="486" t="s">
        <v>294</v>
      </c>
      <c r="D86" s="486"/>
      <c r="E86" s="251"/>
      <c r="F86" s="251"/>
      <c r="G86" s="251"/>
      <c r="H86" s="251"/>
      <c r="I86" s="251"/>
      <c r="J86" s="251"/>
      <c r="L86" s="242"/>
      <c r="P86" s="214"/>
    </row>
    <row r="87" spans="2:21" ht="16.5" customHeight="1" x14ac:dyDescent="0.25">
      <c r="B87" s="222" t="s">
        <v>234</v>
      </c>
      <c r="C87" s="486" t="s">
        <v>295</v>
      </c>
      <c r="D87" s="486"/>
      <c r="E87" s="251"/>
      <c r="F87" s="251"/>
      <c r="G87" s="251"/>
      <c r="H87" s="251"/>
      <c r="I87" s="251"/>
      <c r="J87" s="251"/>
      <c r="L87" s="242"/>
      <c r="P87" s="214"/>
    </row>
    <row r="88" spans="2:21" ht="16.5" customHeight="1" x14ac:dyDescent="0.25">
      <c r="B88" s="222" t="s">
        <v>267</v>
      </c>
      <c r="C88" s="486" t="s">
        <v>296</v>
      </c>
      <c r="D88" s="486"/>
      <c r="E88" s="251"/>
      <c r="F88" s="251"/>
      <c r="G88" s="251"/>
      <c r="H88" s="251"/>
      <c r="I88" s="251"/>
      <c r="J88" s="251"/>
      <c r="L88" s="242"/>
      <c r="P88" s="214"/>
    </row>
    <row r="89" spans="2:21" ht="16.5" customHeight="1" x14ac:dyDescent="0.25">
      <c r="B89" s="222" t="s">
        <v>269</v>
      </c>
      <c r="C89" s="486" t="s">
        <v>297</v>
      </c>
      <c r="D89" s="486"/>
      <c r="E89" s="251"/>
      <c r="F89" s="251"/>
      <c r="G89" s="251">
        <v>40.200000000000003</v>
      </c>
      <c r="H89" s="251"/>
      <c r="I89" s="251"/>
      <c r="J89" s="251">
        <v>40.200000000000003</v>
      </c>
      <c r="L89" s="252"/>
      <c r="P89" s="214"/>
      <c r="Q89" s="214"/>
      <c r="R89" s="214"/>
      <c r="S89" s="214"/>
      <c r="T89" s="214"/>
      <c r="U89" s="214"/>
    </row>
    <row r="90" spans="2:21" ht="16.5" customHeight="1" x14ac:dyDescent="0.25">
      <c r="B90" s="222" t="s">
        <v>270</v>
      </c>
      <c r="C90" s="486" t="s">
        <v>298</v>
      </c>
      <c r="D90" s="486"/>
      <c r="E90" s="251">
        <f t="shared" ref="E90:J90" si="13">(E44*8.5%*9)/12</f>
        <v>69.105000000000004</v>
      </c>
      <c r="F90" s="251">
        <f t="shared" si="13"/>
        <v>69.105000000000004</v>
      </c>
      <c r="G90" s="251">
        <f t="shared" si="13"/>
        <v>69.105000000000004</v>
      </c>
      <c r="H90" s="251">
        <f t="shared" si="13"/>
        <v>69.105000000000004</v>
      </c>
      <c r="I90" s="251" t="e">
        <f t="shared" si="13"/>
        <v>#VALUE!</v>
      </c>
      <c r="J90" s="251" t="e">
        <f t="shared" si="13"/>
        <v>#VALUE!</v>
      </c>
      <c r="L90" s="252" t="s">
        <v>299</v>
      </c>
      <c r="P90" s="214"/>
      <c r="Q90" s="214"/>
      <c r="R90" s="214"/>
      <c r="S90" s="214"/>
      <c r="T90" s="214"/>
      <c r="U90" s="214"/>
    </row>
    <row r="91" spans="2:21" ht="16.5" customHeight="1" x14ac:dyDescent="0.25">
      <c r="B91" s="222" t="s">
        <v>287</v>
      </c>
      <c r="C91" s="486" t="s">
        <v>300</v>
      </c>
      <c r="D91" s="486"/>
      <c r="E91" s="251">
        <f>(9.61*8.8)/12</f>
        <v>7.0473333333333334</v>
      </c>
      <c r="F91" s="251">
        <f>(9.61*12*50%)/12</f>
        <v>4.8049999999999997</v>
      </c>
      <c r="G91" s="251">
        <f>(9.61*12*50%)/12</f>
        <v>4.8049999999999997</v>
      </c>
      <c r="H91" s="251">
        <f>(9.61*8.8)/12</f>
        <v>7.0473333333333334</v>
      </c>
      <c r="I91" s="251">
        <f>(9.61*12*50%)/12</f>
        <v>4.8049999999999997</v>
      </c>
      <c r="J91" s="251">
        <f>(9.61*12*50%)/12</f>
        <v>4.8049999999999997</v>
      </c>
      <c r="L91" s="252"/>
      <c r="P91" s="214"/>
      <c r="Q91" s="214"/>
      <c r="R91" s="214"/>
      <c r="S91" s="214"/>
      <c r="T91" s="214"/>
      <c r="U91" s="214"/>
    </row>
    <row r="92" spans="2:21" ht="16.5" customHeight="1" x14ac:dyDescent="0.25">
      <c r="B92" s="483" t="s">
        <v>44</v>
      </c>
      <c r="C92" s="483"/>
      <c r="D92" s="483"/>
      <c r="E92" s="253">
        <f t="shared" ref="E92:J92" si="14">SUM(E84:E91)</f>
        <v>439.93633333333332</v>
      </c>
      <c r="F92" s="253">
        <f t="shared" si="14"/>
        <v>333.77000000000004</v>
      </c>
      <c r="G92" s="253">
        <f t="shared" si="14"/>
        <v>373.97</v>
      </c>
      <c r="H92" s="253">
        <f t="shared" si="14"/>
        <v>439.93633333333332</v>
      </c>
      <c r="I92" s="253" t="e">
        <f t="shared" si="14"/>
        <v>#VALUE!</v>
      </c>
      <c r="J92" s="253" t="e">
        <f t="shared" si="14"/>
        <v>#VALUE!</v>
      </c>
      <c r="L92" s="242"/>
      <c r="P92" s="214"/>
      <c r="Q92" s="214"/>
      <c r="R92" s="214"/>
      <c r="S92" s="214"/>
      <c r="T92" s="214"/>
      <c r="U92" s="214"/>
    </row>
    <row r="93" spans="2:21" x14ac:dyDescent="0.25">
      <c r="L93" s="242"/>
      <c r="P93" s="214"/>
      <c r="Q93" s="214"/>
      <c r="R93" s="214"/>
      <c r="S93" s="214"/>
      <c r="T93" s="214"/>
    </row>
    <row r="94" spans="2:21" x14ac:dyDescent="0.25">
      <c r="L94" s="242"/>
      <c r="P94" s="214"/>
      <c r="Q94" s="214"/>
      <c r="R94" s="214"/>
      <c r="S94" s="214"/>
      <c r="T94" s="214"/>
    </row>
    <row r="95" spans="2:21" x14ac:dyDescent="0.25">
      <c r="B95" s="488" t="s">
        <v>301</v>
      </c>
      <c r="C95" s="488"/>
      <c r="D95" s="488"/>
      <c r="E95" s="488"/>
      <c r="F95" s="488"/>
      <c r="G95" s="488"/>
      <c r="H95" s="488"/>
      <c r="I95" s="488"/>
      <c r="J95" s="488"/>
      <c r="L95" s="242"/>
      <c r="P95" s="214"/>
      <c r="Q95" s="214"/>
      <c r="R95" s="214"/>
      <c r="S95" s="214"/>
      <c r="T95" s="214"/>
    </row>
    <row r="96" spans="2:21" x14ac:dyDescent="0.25">
      <c r="L96" s="242"/>
      <c r="P96" s="214"/>
      <c r="Q96" s="214"/>
      <c r="R96" s="214"/>
      <c r="S96" s="214"/>
      <c r="T96" s="214"/>
    </row>
    <row r="97" spans="2:21" ht="31.5" x14ac:dyDescent="0.25">
      <c r="E97" s="227" t="s">
        <v>240</v>
      </c>
      <c r="F97" s="227" t="s">
        <v>242</v>
      </c>
      <c r="G97" s="239" t="s">
        <v>243</v>
      </c>
      <c r="H97" s="239" t="s">
        <v>244</v>
      </c>
      <c r="I97" s="239" t="s">
        <v>245</v>
      </c>
      <c r="J97" s="239" t="s">
        <v>246</v>
      </c>
      <c r="L97" s="242"/>
      <c r="P97" s="214"/>
      <c r="Q97" s="214"/>
      <c r="R97" s="214"/>
      <c r="S97" s="214"/>
      <c r="T97" s="214"/>
    </row>
    <row r="98" spans="2:21" ht="16.5" customHeight="1" x14ac:dyDescent="0.25">
      <c r="B98" s="227">
        <v>2</v>
      </c>
      <c r="C98" s="483" t="s">
        <v>302</v>
      </c>
      <c r="D98" s="483"/>
      <c r="E98" s="221" t="s">
        <v>263</v>
      </c>
      <c r="F98" s="221" t="s">
        <v>263</v>
      </c>
      <c r="G98" s="221" t="s">
        <v>263</v>
      </c>
      <c r="H98" s="221" t="s">
        <v>263</v>
      </c>
      <c r="I98" s="221" t="s">
        <v>263</v>
      </c>
      <c r="J98" s="221" t="s">
        <v>263</v>
      </c>
      <c r="L98" s="242"/>
      <c r="P98" s="214"/>
      <c r="Q98" s="214"/>
      <c r="R98" s="214"/>
      <c r="S98" s="214"/>
      <c r="T98" s="214"/>
      <c r="U98" s="214"/>
    </row>
    <row r="99" spans="2:21" ht="30.75" customHeight="1" x14ac:dyDescent="0.25">
      <c r="B99" s="222" t="s">
        <v>274</v>
      </c>
      <c r="C99" s="486" t="s">
        <v>275</v>
      </c>
      <c r="D99" s="486"/>
      <c r="E99" s="224">
        <f t="shared" ref="E99:J99" si="15">E62</f>
        <v>274.01111111111112</v>
      </c>
      <c r="F99" s="224">
        <f t="shared" si="15"/>
        <v>274.01111111111112</v>
      </c>
      <c r="G99" s="224">
        <f t="shared" si="15"/>
        <v>360.76896579629624</v>
      </c>
      <c r="H99" s="224">
        <f t="shared" si="15"/>
        <v>379.4</v>
      </c>
      <c r="I99" s="224" t="e">
        <f t="shared" si="15"/>
        <v>#VALUE!</v>
      </c>
      <c r="J99" s="224" t="e">
        <f t="shared" si="15"/>
        <v>#VALUE!</v>
      </c>
      <c r="K99" s="254"/>
      <c r="L99" s="242"/>
      <c r="P99" s="214"/>
      <c r="Q99" s="214"/>
      <c r="R99" s="214"/>
      <c r="S99" s="214"/>
      <c r="T99" s="214"/>
      <c r="U99" s="214"/>
    </row>
    <row r="100" spans="2:21" ht="16.5" customHeight="1" x14ac:dyDescent="0.25">
      <c r="B100" s="222" t="s">
        <v>279</v>
      </c>
      <c r="C100" s="486" t="s">
        <v>280</v>
      </c>
      <c r="D100" s="486"/>
      <c r="E100" s="224">
        <f t="shared" ref="E100:J100" si="16">E77</f>
        <v>619.42168888888887</v>
      </c>
      <c r="F100" s="224">
        <f t="shared" si="16"/>
        <v>619.42168888888887</v>
      </c>
      <c r="G100" s="224">
        <f t="shared" si="16"/>
        <v>651.34857941303699</v>
      </c>
      <c r="H100" s="224">
        <f t="shared" si="16"/>
        <v>658.20480000000009</v>
      </c>
      <c r="I100" s="224" t="e">
        <f t="shared" si="16"/>
        <v>#VALUE!</v>
      </c>
      <c r="J100" s="224" t="e">
        <f t="shared" si="16"/>
        <v>#VALUE!</v>
      </c>
      <c r="L100" s="242"/>
      <c r="P100" s="214"/>
      <c r="Q100" s="214"/>
      <c r="R100" s="214"/>
      <c r="S100" s="214"/>
      <c r="T100" s="214"/>
      <c r="U100" s="214"/>
    </row>
    <row r="101" spans="2:21" ht="16.5" customHeight="1" x14ac:dyDescent="0.25">
      <c r="B101" s="222" t="s">
        <v>290</v>
      </c>
      <c r="C101" s="486" t="s">
        <v>291</v>
      </c>
      <c r="D101" s="486"/>
      <c r="E101" s="224">
        <f t="shared" ref="E101:J101" si="17">E92</f>
        <v>439.93633333333332</v>
      </c>
      <c r="F101" s="224">
        <f t="shared" si="17"/>
        <v>333.77000000000004</v>
      </c>
      <c r="G101" s="224">
        <f t="shared" si="17"/>
        <v>373.97</v>
      </c>
      <c r="H101" s="224">
        <f t="shared" si="17"/>
        <v>439.93633333333332</v>
      </c>
      <c r="I101" s="224" t="e">
        <f t="shared" si="17"/>
        <v>#VALUE!</v>
      </c>
      <c r="J101" s="224" t="e">
        <f t="shared" si="17"/>
        <v>#VALUE!</v>
      </c>
      <c r="L101" s="242"/>
      <c r="P101" s="214"/>
      <c r="Q101" s="214"/>
      <c r="R101" s="214"/>
      <c r="S101" s="214"/>
      <c r="T101" s="214"/>
      <c r="U101" s="214"/>
    </row>
    <row r="102" spans="2:21" ht="16.5" customHeight="1" x14ac:dyDescent="0.25">
      <c r="B102" s="483" t="s">
        <v>44</v>
      </c>
      <c r="C102" s="483"/>
      <c r="D102" s="483"/>
      <c r="E102" s="243">
        <f t="shared" ref="E102:J102" si="18">SUM(E99:E101)</f>
        <v>1333.3691333333334</v>
      </c>
      <c r="F102" s="243">
        <f t="shared" si="18"/>
        <v>1227.2028</v>
      </c>
      <c r="G102" s="243">
        <f t="shared" si="18"/>
        <v>1386.0875452093333</v>
      </c>
      <c r="H102" s="243">
        <f t="shared" si="18"/>
        <v>1477.5411333333334</v>
      </c>
      <c r="I102" s="243" t="e">
        <f t="shared" si="18"/>
        <v>#VALUE!</v>
      </c>
      <c r="J102" s="243" t="e">
        <f t="shared" si="18"/>
        <v>#VALUE!</v>
      </c>
      <c r="L102" s="242"/>
      <c r="P102" s="214"/>
      <c r="Q102" s="214"/>
      <c r="R102" s="214"/>
      <c r="S102" s="214"/>
      <c r="T102" s="214"/>
      <c r="U102" s="214"/>
    </row>
    <row r="103" spans="2:21" x14ac:dyDescent="0.25">
      <c r="B103" s="89"/>
      <c r="L103" s="242"/>
      <c r="P103" s="214"/>
      <c r="Q103" s="214"/>
      <c r="R103" s="214"/>
      <c r="S103" s="214"/>
      <c r="T103" s="214"/>
    </row>
    <row r="104" spans="2:21" x14ac:dyDescent="0.25">
      <c r="L104" s="242"/>
      <c r="P104" s="214"/>
      <c r="Q104" s="214"/>
      <c r="R104" s="214"/>
      <c r="S104" s="214"/>
      <c r="T104" s="214"/>
    </row>
    <row r="105" spans="2:21" x14ac:dyDescent="0.25">
      <c r="B105" s="490" t="s">
        <v>303</v>
      </c>
      <c r="C105" s="490"/>
      <c r="D105" s="490"/>
      <c r="E105" s="490"/>
      <c r="F105" s="490"/>
      <c r="G105" s="490"/>
      <c r="H105" s="490"/>
      <c r="I105" s="490"/>
      <c r="J105" s="490"/>
      <c r="L105" s="242"/>
      <c r="P105" s="214"/>
      <c r="Q105" s="214"/>
      <c r="R105" s="214"/>
      <c r="S105" s="214"/>
      <c r="T105" s="214"/>
    </row>
    <row r="106" spans="2:21" x14ac:dyDescent="0.25">
      <c r="B106" s="256"/>
      <c r="C106" s="256"/>
      <c r="D106" s="256"/>
      <c r="E106" s="256"/>
      <c r="L106" s="242"/>
      <c r="P106" s="214"/>
      <c r="Q106" s="214"/>
      <c r="R106" s="214"/>
      <c r="S106" s="214"/>
      <c r="T106" s="214"/>
    </row>
    <row r="107" spans="2:21" ht="31.5" x14ac:dyDescent="0.25">
      <c r="B107" s="256"/>
      <c r="C107" s="256"/>
      <c r="D107" s="256"/>
      <c r="E107" s="227" t="s">
        <v>240</v>
      </c>
      <c r="F107" s="227" t="s">
        <v>242</v>
      </c>
      <c r="G107" s="239" t="s">
        <v>243</v>
      </c>
      <c r="H107" s="239" t="s">
        <v>244</v>
      </c>
      <c r="I107" s="239" t="s">
        <v>245</v>
      </c>
      <c r="J107" s="239" t="s">
        <v>246</v>
      </c>
      <c r="L107" s="242"/>
      <c r="P107" s="214"/>
      <c r="Q107" s="214"/>
      <c r="R107" s="214"/>
      <c r="S107" s="214"/>
      <c r="T107" s="214"/>
    </row>
    <row r="108" spans="2:21" ht="16.5" customHeight="1" x14ac:dyDescent="0.25">
      <c r="B108" s="257">
        <v>3</v>
      </c>
      <c r="C108" s="491" t="s">
        <v>304</v>
      </c>
      <c r="D108" s="491"/>
      <c r="E108" s="250" t="s">
        <v>263</v>
      </c>
      <c r="F108" s="250" t="s">
        <v>263</v>
      </c>
      <c r="G108" s="250" t="s">
        <v>263</v>
      </c>
      <c r="H108" s="250" t="s">
        <v>263</v>
      </c>
      <c r="I108" s="250" t="s">
        <v>263</v>
      </c>
      <c r="J108" s="250" t="s">
        <v>263</v>
      </c>
      <c r="L108" s="242"/>
      <c r="P108" s="214"/>
      <c r="Q108" s="214"/>
      <c r="R108" s="214"/>
      <c r="S108" s="214"/>
      <c r="T108" s="214"/>
      <c r="U108" s="214"/>
    </row>
    <row r="109" spans="2:21" ht="16.5" customHeight="1" x14ac:dyDescent="0.25">
      <c r="B109" s="258" t="s">
        <v>227</v>
      </c>
      <c r="C109" s="492" t="s">
        <v>305</v>
      </c>
      <c r="D109" s="492"/>
      <c r="E109" s="251">
        <f t="shared" ref="E109:J109" si="19">(E51/12)*0.05</f>
        <v>5.871666666666667</v>
      </c>
      <c r="F109" s="251">
        <f t="shared" si="19"/>
        <v>5.871666666666667</v>
      </c>
      <c r="G109" s="251">
        <f t="shared" si="19"/>
        <v>7.7307635527777778</v>
      </c>
      <c r="H109" s="251">
        <f t="shared" si="19"/>
        <v>8.1300000000000008</v>
      </c>
      <c r="I109" s="251" t="e">
        <f t="shared" si="19"/>
        <v>#VALUE!</v>
      </c>
      <c r="J109" s="251" t="e">
        <f t="shared" si="19"/>
        <v>#VALUE!</v>
      </c>
      <c r="K109" s="259"/>
      <c r="L109" s="260"/>
      <c r="P109" s="214"/>
      <c r="Q109" s="214"/>
      <c r="R109" s="214"/>
      <c r="S109" s="214"/>
      <c r="T109" s="214"/>
      <c r="U109" s="214"/>
    </row>
    <row r="110" spans="2:21" ht="16.5" customHeight="1" x14ac:dyDescent="0.25">
      <c r="B110" s="258" t="s">
        <v>229</v>
      </c>
      <c r="C110" s="492" t="s">
        <v>306</v>
      </c>
      <c r="D110" s="492"/>
      <c r="E110" s="251">
        <f t="shared" ref="E110:J110" si="20">E109*8%</f>
        <v>0.46973333333333339</v>
      </c>
      <c r="F110" s="251">
        <f t="shared" si="20"/>
        <v>0.46973333333333339</v>
      </c>
      <c r="G110" s="251">
        <f t="shared" si="20"/>
        <v>0.61846108422222223</v>
      </c>
      <c r="H110" s="251">
        <f t="shared" si="20"/>
        <v>0.65040000000000009</v>
      </c>
      <c r="I110" s="251" t="e">
        <f t="shared" si="20"/>
        <v>#VALUE!</v>
      </c>
      <c r="J110" s="251" t="e">
        <f t="shared" si="20"/>
        <v>#VALUE!</v>
      </c>
      <c r="L110" s="242"/>
      <c r="P110" s="214"/>
      <c r="Q110" s="214"/>
      <c r="R110" s="214"/>
      <c r="S110" s="214"/>
      <c r="T110" s="214"/>
      <c r="U110" s="214"/>
    </row>
    <row r="111" spans="2:21" ht="30.75" customHeight="1" x14ac:dyDescent="0.25">
      <c r="B111" s="258" t="s">
        <v>232</v>
      </c>
      <c r="C111" s="492" t="s">
        <v>307</v>
      </c>
      <c r="D111" s="492"/>
      <c r="E111" s="261"/>
      <c r="F111" s="261"/>
      <c r="G111" s="261"/>
      <c r="H111" s="261"/>
      <c r="I111" s="261"/>
      <c r="J111" s="261"/>
      <c r="L111" s="242"/>
      <c r="P111" s="214"/>
      <c r="Q111" s="214"/>
      <c r="R111" s="214"/>
      <c r="S111" s="214"/>
      <c r="T111" s="214"/>
      <c r="U111" s="214"/>
    </row>
    <row r="112" spans="2:21" ht="16.5" customHeight="1" x14ac:dyDescent="0.25">
      <c r="B112" s="258" t="s">
        <v>234</v>
      </c>
      <c r="C112" s="492" t="s">
        <v>308</v>
      </c>
      <c r="D112" s="492"/>
      <c r="E112" s="251">
        <f t="shared" ref="E112:J112" si="21">(((E51/30)/12)*7)*95%</f>
        <v>26.031055555555557</v>
      </c>
      <c r="F112" s="251">
        <f t="shared" si="21"/>
        <v>26.031055555555557</v>
      </c>
      <c r="G112" s="251">
        <f t="shared" si="21"/>
        <v>34.273051750648143</v>
      </c>
      <c r="H112" s="251">
        <f t="shared" si="21"/>
        <v>36.043000000000006</v>
      </c>
      <c r="I112" s="251" t="e">
        <f t="shared" si="21"/>
        <v>#VALUE!</v>
      </c>
      <c r="J112" s="251" t="e">
        <f t="shared" si="21"/>
        <v>#VALUE!</v>
      </c>
      <c r="L112" s="242"/>
      <c r="P112" s="214"/>
      <c r="Q112" s="214"/>
      <c r="R112" s="214"/>
      <c r="S112" s="214"/>
      <c r="T112" s="214"/>
      <c r="U112" s="214"/>
    </row>
    <row r="113" spans="2:21" ht="30.75" customHeight="1" x14ac:dyDescent="0.25">
      <c r="B113" s="258" t="s">
        <v>267</v>
      </c>
      <c r="C113" s="492" t="s">
        <v>309</v>
      </c>
      <c r="D113" s="492"/>
      <c r="E113" s="251">
        <f t="shared" ref="E113:J113" si="22">E112*$D$77</f>
        <v>9.5794284444444457</v>
      </c>
      <c r="F113" s="251">
        <f t="shared" si="22"/>
        <v>9.5794284444444457</v>
      </c>
      <c r="G113" s="251">
        <f t="shared" si="22"/>
        <v>12.612483044238518</v>
      </c>
      <c r="H113" s="251">
        <f t="shared" si="22"/>
        <v>13.263824000000005</v>
      </c>
      <c r="I113" s="251" t="e">
        <f t="shared" si="22"/>
        <v>#VALUE!</v>
      </c>
      <c r="J113" s="251" t="e">
        <f t="shared" si="22"/>
        <v>#VALUE!</v>
      </c>
      <c r="L113" s="242"/>
      <c r="P113" s="214"/>
      <c r="Q113" s="214"/>
      <c r="R113" s="214"/>
      <c r="S113" s="214"/>
      <c r="T113" s="214"/>
      <c r="U113" s="214"/>
    </row>
    <row r="114" spans="2:21" ht="30.75" customHeight="1" x14ac:dyDescent="0.25">
      <c r="B114" s="258" t="s">
        <v>269</v>
      </c>
      <c r="C114" s="492" t="s">
        <v>310</v>
      </c>
      <c r="D114" s="492"/>
      <c r="E114" s="251">
        <f t="shared" ref="E114:J114" si="23">5%*E51</f>
        <v>70.460000000000008</v>
      </c>
      <c r="F114" s="251">
        <f t="shared" si="23"/>
        <v>70.460000000000008</v>
      </c>
      <c r="G114" s="251">
        <f t="shared" si="23"/>
        <v>92.769162633333337</v>
      </c>
      <c r="H114" s="251">
        <f t="shared" si="23"/>
        <v>97.56</v>
      </c>
      <c r="I114" s="251" t="e">
        <f t="shared" si="23"/>
        <v>#VALUE!</v>
      </c>
      <c r="J114" s="251" t="e">
        <f t="shared" si="23"/>
        <v>#VALUE!</v>
      </c>
      <c r="L114" s="262"/>
      <c r="P114" s="214"/>
      <c r="Q114" s="214"/>
      <c r="R114" s="214"/>
      <c r="S114" s="214"/>
      <c r="T114" s="214"/>
      <c r="U114" s="214"/>
    </row>
    <row r="115" spans="2:21" ht="16.5" customHeight="1" x14ac:dyDescent="0.25">
      <c r="B115" s="491" t="s">
        <v>44</v>
      </c>
      <c r="C115" s="491"/>
      <c r="D115" s="491"/>
      <c r="E115" s="263">
        <f t="shared" ref="E115:J115" si="24">SUM(E109:E114)</f>
        <v>112.41188400000001</v>
      </c>
      <c r="F115" s="263">
        <f t="shared" si="24"/>
        <v>112.41188400000001</v>
      </c>
      <c r="G115" s="263">
        <f t="shared" si="24"/>
        <v>148.00392206522</v>
      </c>
      <c r="H115" s="263">
        <f t="shared" si="24"/>
        <v>155.64722400000002</v>
      </c>
      <c r="I115" s="263" t="e">
        <f t="shared" si="24"/>
        <v>#VALUE!</v>
      </c>
      <c r="J115" s="263" t="e">
        <f t="shared" si="24"/>
        <v>#VALUE!</v>
      </c>
      <c r="L115" s="242"/>
      <c r="P115" s="214"/>
      <c r="Q115" s="214"/>
      <c r="R115" s="214"/>
      <c r="S115" s="214"/>
      <c r="T115" s="214"/>
      <c r="U115" s="214"/>
    </row>
    <row r="116" spans="2:21" x14ac:dyDescent="0.25">
      <c r="L116" s="242"/>
      <c r="P116" s="214"/>
      <c r="Q116" s="214"/>
      <c r="R116" s="214"/>
      <c r="S116" s="214"/>
      <c r="T116" s="214"/>
    </row>
    <row r="117" spans="2:21" x14ac:dyDescent="0.25">
      <c r="L117" s="242"/>
      <c r="P117" s="214"/>
      <c r="Q117" s="214"/>
      <c r="R117" s="214"/>
      <c r="S117" s="214"/>
      <c r="T117" s="214"/>
    </row>
    <row r="118" spans="2:21" x14ac:dyDescent="0.25">
      <c r="B118" s="490" t="s">
        <v>311</v>
      </c>
      <c r="C118" s="490"/>
      <c r="D118" s="490"/>
      <c r="E118" s="490"/>
      <c r="F118" s="490"/>
      <c r="G118" s="490"/>
      <c r="H118" s="490"/>
      <c r="I118" s="490"/>
      <c r="J118" s="490"/>
      <c r="K118" s="213"/>
      <c r="L118" s="264" t="s">
        <v>312</v>
      </c>
      <c r="P118" s="214"/>
      <c r="Q118" s="214"/>
      <c r="R118" s="214"/>
      <c r="S118" s="214"/>
      <c r="T118" s="214"/>
    </row>
    <row r="119" spans="2:21" x14ac:dyDescent="0.25">
      <c r="B119" s="256"/>
      <c r="C119" s="256"/>
      <c r="D119" s="256"/>
      <c r="E119" s="256"/>
      <c r="F119" s="264"/>
      <c r="G119" s="264"/>
      <c r="H119" s="264"/>
      <c r="I119" s="264"/>
      <c r="J119" s="264"/>
      <c r="K119" s="264"/>
      <c r="L119" s="242"/>
      <c r="P119" s="214"/>
      <c r="Q119" s="214"/>
      <c r="R119" s="214"/>
      <c r="S119" s="214"/>
      <c r="T119" s="214"/>
    </row>
    <row r="120" spans="2:21" x14ac:dyDescent="0.25">
      <c r="B120" s="493" t="s">
        <v>313</v>
      </c>
      <c r="C120" s="493"/>
      <c r="D120" s="493"/>
      <c r="E120" s="493"/>
      <c r="F120" s="493"/>
      <c r="G120" s="493"/>
      <c r="H120" s="493"/>
      <c r="I120" s="493"/>
      <c r="J120" s="493"/>
      <c r="K120" s="264"/>
      <c r="L120" s="242"/>
      <c r="P120" s="214"/>
      <c r="Q120" s="214"/>
      <c r="R120" s="214"/>
      <c r="S120" s="214"/>
      <c r="T120" s="214"/>
    </row>
    <row r="121" spans="2:21" x14ac:dyDescent="0.25">
      <c r="B121" s="266"/>
      <c r="C121" s="494"/>
      <c r="D121" s="494"/>
      <c r="E121" s="256"/>
      <c r="F121" s="264"/>
      <c r="G121" s="264"/>
      <c r="H121" s="264"/>
      <c r="I121" s="264"/>
      <c r="J121" s="264"/>
      <c r="K121" s="264"/>
      <c r="L121" s="242"/>
      <c r="P121" s="214"/>
      <c r="Q121" s="214"/>
      <c r="R121" s="214"/>
      <c r="S121" s="214"/>
      <c r="T121" s="214"/>
    </row>
    <row r="122" spans="2:21" ht="31.5" x14ac:dyDescent="0.25">
      <c r="B122" s="266"/>
      <c r="C122" s="268"/>
      <c r="D122" s="268"/>
      <c r="E122" s="227" t="s">
        <v>240</v>
      </c>
      <c r="F122" s="227" t="s">
        <v>242</v>
      </c>
      <c r="G122" s="239" t="s">
        <v>243</v>
      </c>
      <c r="H122" s="239" t="s">
        <v>244</v>
      </c>
      <c r="I122" s="239" t="s">
        <v>245</v>
      </c>
      <c r="J122" s="239" t="s">
        <v>246</v>
      </c>
      <c r="K122" s="264"/>
      <c r="L122" s="242"/>
      <c r="P122" s="214"/>
      <c r="Q122" s="214"/>
      <c r="R122" s="214"/>
      <c r="S122" s="214"/>
      <c r="T122" s="214"/>
    </row>
    <row r="123" spans="2:21" ht="16.5" customHeight="1" x14ac:dyDescent="0.25">
      <c r="B123" s="257" t="s">
        <v>314</v>
      </c>
      <c r="C123" s="491" t="s">
        <v>315</v>
      </c>
      <c r="D123" s="491"/>
      <c r="E123" s="250" t="s">
        <v>263</v>
      </c>
      <c r="F123" s="250" t="s">
        <v>263</v>
      </c>
      <c r="G123" s="250" t="s">
        <v>263</v>
      </c>
      <c r="H123" s="250" t="s">
        <v>263</v>
      </c>
      <c r="I123" s="250" t="s">
        <v>263</v>
      </c>
      <c r="J123" s="250" t="s">
        <v>263</v>
      </c>
      <c r="K123" s="264"/>
      <c r="L123" s="242"/>
      <c r="P123" s="214"/>
      <c r="Q123" s="214"/>
      <c r="R123" s="214"/>
      <c r="S123" s="214"/>
      <c r="T123" s="214"/>
      <c r="U123" s="214"/>
    </row>
    <row r="124" spans="2:21" ht="16.5" customHeight="1" x14ac:dyDescent="0.25">
      <c r="B124" s="258" t="s">
        <v>227</v>
      </c>
      <c r="C124" s="495" t="s">
        <v>140</v>
      </c>
      <c r="D124" s="495"/>
      <c r="E124" s="251"/>
      <c r="F124" s="251"/>
      <c r="G124" s="251"/>
      <c r="H124" s="251"/>
      <c r="I124" s="251"/>
      <c r="J124" s="251"/>
      <c r="K124" s="264"/>
      <c r="L124" s="242"/>
      <c r="N124" s="254"/>
      <c r="P124" s="214"/>
      <c r="Q124" s="214"/>
      <c r="R124" s="214"/>
      <c r="S124" s="214"/>
      <c r="T124" s="214"/>
      <c r="U124" s="214"/>
    </row>
    <row r="125" spans="2:21" x14ac:dyDescent="0.25">
      <c r="B125" s="258" t="s">
        <v>229</v>
      </c>
      <c r="C125" s="269" t="s">
        <v>141</v>
      </c>
      <c r="D125" s="270"/>
      <c r="E125" s="251">
        <f t="shared" ref="E125:J125" si="25">(((E51/30)/12)*1)</f>
        <v>3.9144444444444448</v>
      </c>
      <c r="F125" s="251">
        <f t="shared" si="25"/>
        <v>3.9144444444444448</v>
      </c>
      <c r="G125" s="251">
        <f t="shared" si="25"/>
        <v>5.153842368518518</v>
      </c>
      <c r="H125" s="251">
        <f t="shared" si="25"/>
        <v>5.4200000000000008</v>
      </c>
      <c r="I125" s="251" t="e">
        <f t="shared" si="25"/>
        <v>#VALUE!</v>
      </c>
      <c r="J125" s="251" t="e">
        <f t="shared" si="25"/>
        <v>#VALUE!</v>
      </c>
      <c r="K125" s="264"/>
      <c r="L125" s="242"/>
      <c r="P125" s="214"/>
      <c r="Q125" s="214"/>
      <c r="R125" s="214"/>
      <c r="S125" s="214"/>
      <c r="T125" s="214"/>
      <c r="U125" s="214"/>
    </row>
    <row r="126" spans="2:21" x14ac:dyDescent="0.25">
      <c r="B126" s="258" t="s">
        <v>232</v>
      </c>
      <c r="C126" s="269" t="s">
        <v>142</v>
      </c>
      <c r="D126" s="270"/>
      <c r="E126" s="251">
        <f t="shared" ref="E126:J126" si="26">(((E51/30)/12)*15)*0.0922</f>
        <v>5.4136766666666674</v>
      </c>
      <c r="F126" s="251">
        <f t="shared" si="26"/>
        <v>5.4136766666666674</v>
      </c>
      <c r="G126" s="251">
        <f t="shared" si="26"/>
        <v>7.1277639956611099</v>
      </c>
      <c r="H126" s="251">
        <f t="shared" si="26"/>
        <v>7.4958600000000013</v>
      </c>
      <c r="I126" s="251" t="e">
        <f t="shared" si="26"/>
        <v>#VALUE!</v>
      </c>
      <c r="J126" s="251" t="e">
        <f t="shared" si="26"/>
        <v>#VALUE!</v>
      </c>
      <c r="K126" s="264"/>
      <c r="L126" s="242"/>
      <c r="P126" s="214"/>
      <c r="Q126" s="214"/>
      <c r="R126" s="214"/>
      <c r="S126" s="214"/>
      <c r="T126" s="214"/>
      <c r="U126" s="214"/>
    </row>
    <row r="127" spans="2:21" x14ac:dyDescent="0.25">
      <c r="B127" s="258" t="s">
        <v>234</v>
      </c>
      <c r="C127" s="269" t="s">
        <v>143</v>
      </c>
      <c r="D127" s="270"/>
      <c r="E127" s="251">
        <f t="shared" ref="E127:J127" si="27">(((E51/30)/12)*5)</f>
        <v>19.572222222222223</v>
      </c>
      <c r="F127" s="251">
        <f t="shared" si="27"/>
        <v>19.572222222222223</v>
      </c>
      <c r="G127" s="251">
        <f t="shared" si="27"/>
        <v>25.76921184259259</v>
      </c>
      <c r="H127" s="251">
        <f t="shared" si="27"/>
        <v>27.100000000000005</v>
      </c>
      <c r="I127" s="251" t="e">
        <f t="shared" si="27"/>
        <v>#VALUE!</v>
      </c>
      <c r="J127" s="251" t="e">
        <f t="shared" si="27"/>
        <v>#VALUE!</v>
      </c>
      <c r="K127" s="264"/>
      <c r="L127" s="242"/>
      <c r="P127" s="214"/>
      <c r="Q127" s="214"/>
      <c r="R127" s="214"/>
      <c r="S127" s="214"/>
      <c r="T127" s="214"/>
      <c r="U127" s="214"/>
    </row>
    <row r="128" spans="2:21" x14ac:dyDescent="0.25">
      <c r="B128" s="258" t="s">
        <v>269</v>
      </c>
      <c r="C128" s="269" t="s">
        <v>144</v>
      </c>
      <c r="D128" s="270"/>
      <c r="E128" s="251">
        <f t="shared" ref="E128:J128" si="28">(((E51/30)/12)*2)*0.1522</f>
        <v>1.191556888888889</v>
      </c>
      <c r="F128" s="251">
        <f t="shared" si="28"/>
        <v>1.191556888888889</v>
      </c>
      <c r="G128" s="251">
        <f t="shared" si="28"/>
        <v>1.5688296169770368</v>
      </c>
      <c r="H128" s="251">
        <f t="shared" si="28"/>
        <v>1.6498480000000002</v>
      </c>
      <c r="I128" s="251" t="e">
        <f t="shared" si="28"/>
        <v>#VALUE!</v>
      </c>
      <c r="J128" s="251" t="e">
        <f t="shared" si="28"/>
        <v>#VALUE!</v>
      </c>
      <c r="K128" s="264"/>
      <c r="L128" s="242"/>
      <c r="P128" s="214"/>
      <c r="Q128" s="214"/>
      <c r="R128" s="214"/>
      <c r="S128" s="214"/>
      <c r="T128" s="214"/>
      <c r="U128" s="214"/>
    </row>
    <row r="129" spans="2:21" x14ac:dyDescent="0.25">
      <c r="B129" s="258" t="s">
        <v>270</v>
      </c>
      <c r="C129" s="269" t="s">
        <v>145</v>
      </c>
      <c r="D129" s="270"/>
      <c r="E129" s="251">
        <f t="shared" ref="E129:J129" si="29">(((E51/30)/12)*2)*0.0309</f>
        <v>0.24191266666666669</v>
      </c>
      <c r="F129" s="251">
        <f t="shared" si="29"/>
        <v>0.24191266666666669</v>
      </c>
      <c r="G129" s="251">
        <f t="shared" si="29"/>
        <v>0.31850745837444444</v>
      </c>
      <c r="H129" s="251">
        <f t="shared" si="29"/>
        <v>0.33495600000000003</v>
      </c>
      <c r="I129" s="251" t="e">
        <f t="shared" si="29"/>
        <v>#VALUE!</v>
      </c>
      <c r="J129" s="251" t="e">
        <f t="shared" si="29"/>
        <v>#VALUE!</v>
      </c>
      <c r="K129" s="264"/>
      <c r="L129" s="242"/>
      <c r="P129" s="214"/>
      <c r="Q129" s="214"/>
      <c r="R129" s="214"/>
      <c r="S129" s="214"/>
      <c r="T129" s="214"/>
      <c r="U129" s="214"/>
    </row>
    <row r="130" spans="2:21" x14ac:dyDescent="0.25">
      <c r="B130" s="258" t="s">
        <v>287</v>
      </c>
      <c r="C130" s="269" t="s">
        <v>146</v>
      </c>
      <c r="D130" s="270"/>
      <c r="E130" s="251">
        <f t="shared" ref="E130:J130" si="30">(((E51/30)/12)*3)*0.0123</f>
        <v>0.14444300000000002</v>
      </c>
      <c r="F130" s="251">
        <f t="shared" si="30"/>
        <v>0.14444300000000002</v>
      </c>
      <c r="G130" s="251">
        <f t="shared" si="30"/>
        <v>0.19017678339833333</v>
      </c>
      <c r="H130" s="251">
        <f t="shared" si="30"/>
        <v>0.19999800000000001</v>
      </c>
      <c r="I130" s="251" t="e">
        <f t="shared" si="30"/>
        <v>#VALUE!</v>
      </c>
      <c r="J130" s="251" t="e">
        <f t="shared" si="30"/>
        <v>#VALUE!</v>
      </c>
      <c r="K130" s="264"/>
      <c r="L130" s="242"/>
      <c r="P130" s="214"/>
      <c r="Q130" s="214"/>
      <c r="R130" s="214"/>
      <c r="S130" s="214"/>
      <c r="T130" s="214"/>
      <c r="U130" s="214"/>
    </row>
    <row r="131" spans="2:21" x14ac:dyDescent="0.25">
      <c r="B131" s="258" t="s">
        <v>316</v>
      </c>
      <c r="C131" s="269" t="s">
        <v>147</v>
      </c>
      <c r="D131" s="270"/>
      <c r="E131" s="251">
        <f t="shared" ref="E131:J131" si="31">(((E51/30)/12)*1)*0.02</f>
        <v>7.8288888888888894E-2</v>
      </c>
      <c r="F131" s="251">
        <f t="shared" si="31"/>
        <v>7.8288888888888894E-2</v>
      </c>
      <c r="G131" s="251">
        <f t="shared" si="31"/>
        <v>0.10307684737037036</v>
      </c>
      <c r="H131" s="251">
        <f t="shared" si="31"/>
        <v>0.10840000000000002</v>
      </c>
      <c r="I131" s="251" t="e">
        <f t="shared" si="31"/>
        <v>#VALUE!</v>
      </c>
      <c r="J131" s="251" t="e">
        <f t="shared" si="31"/>
        <v>#VALUE!</v>
      </c>
      <c r="K131" s="264"/>
      <c r="L131" s="242"/>
      <c r="P131" s="214"/>
      <c r="Q131" s="214"/>
      <c r="R131" s="214"/>
      <c r="S131" s="214"/>
      <c r="T131" s="214"/>
      <c r="U131" s="214"/>
    </row>
    <row r="132" spans="2:21" x14ac:dyDescent="0.25">
      <c r="B132" s="258" t="s">
        <v>317</v>
      </c>
      <c r="C132" s="269" t="s">
        <v>148</v>
      </c>
      <c r="D132" s="270"/>
      <c r="E132" s="251">
        <f t="shared" ref="E132:J132" si="32">(((E51/30)/12)*1)*0.004</f>
        <v>1.5657777777777781E-2</v>
      </c>
      <c r="F132" s="251">
        <f t="shared" si="32"/>
        <v>1.5657777777777781E-2</v>
      </c>
      <c r="G132" s="251">
        <f t="shared" si="32"/>
        <v>2.0615369474074073E-2</v>
      </c>
      <c r="H132" s="251">
        <f t="shared" si="32"/>
        <v>2.1680000000000005E-2</v>
      </c>
      <c r="I132" s="251" t="e">
        <f t="shared" si="32"/>
        <v>#VALUE!</v>
      </c>
      <c r="J132" s="251" t="e">
        <f t="shared" si="32"/>
        <v>#VALUE!</v>
      </c>
      <c r="K132" s="264"/>
      <c r="L132" s="242"/>
      <c r="P132" s="214"/>
      <c r="Q132" s="214"/>
      <c r="R132" s="214"/>
      <c r="S132" s="214"/>
      <c r="T132" s="214"/>
      <c r="U132" s="214"/>
    </row>
    <row r="133" spans="2:21" x14ac:dyDescent="0.25">
      <c r="B133" s="258" t="s">
        <v>318</v>
      </c>
      <c r="C133" s="269" t="s">
        <v>149</v>
      </c>
      <c r="D133" s="270"/>
      <c r="E133" s="251">
        <f t="shared" ref="E133:J133" si="33">(((E51/30)/12)*20)*0.0321</f>
        <v>2.5130733333333333</v>
      </c>
      <c r="F133" s="251">
        <f t="shared" si="33"/>
        <v>2.5130733333333333</v>
      </c>
      <c r="G133" s="251">
        <f t="shared" si="33"/>
        <v>3.3087668005888884</v>
      </c>
      <c r="H133" s="251">
        <f t="shared" si="33"/>
        <v>3.4796400000000003</v>
      </c>
      <c r="I133" s="251" t="e">
        <f t="shared" si="33"/>
        <v>#VALUE!</v>
      </c>
      <c r="J133" s="251" t="e">
        <f t="shared" si="33"/>
        <v>#VALUE!</v>
      </c>
      <c r="K133" s="264"/>
      <c r="L133" s="242"/>
      <c r="P133" s="214"/>
      <c r="Q133" s="214"/>
      <c r="R133" s="214"/>
      <c r="S133" s="214"/>
      <c r="T133" s="214"/>
      <c r="U133" s="214"/>
    </row>
    <row r="134" spans="2:21" x14ac:dyDescent="0.25">
      <c r="B134" s="258" t="s">
        <v>319</v>
      </c>
      <c r="C134" s="269" t="s">
        <v>150</v>
      </c>
      <c r="D134" s="270"/>
      <c r="E134" s="251">
        <f t="shared" ref="E134:J134" si="34">(((E51/30)/12)*180)*0.0028</f>
        <v>1.97288</v>
      </c>
      <c r="F134" s="251">
        <f t="shared" si="34"/>
        <v>1.97288</v>
      </c>
      <c r="G134" s="251">
        <f t="shared" si="34"/>
        <v>2.5975365537333333</v>
      </c>
      <c r="H134" s="251">
        <f t="shared" si="34"/>
        <v>2.7316800000000003</v>
      </c>
      <c r="I134" s="251" t="e">
        <f t="shared" si="34"/>
        <v>#VALUE!</v>
      </c>
      <c r="J134" s="251" t="e">
        <f t="shared" si="34"/>
        <v>#VALUE!</v>
      </c>
      <c r="K134" s="264"/>
      <c r="L134" s="242"/>
      <c r="P134" s="214"/>
      <c r="Q134" s="214"/>
      <c r="R134" s="214"/>
      <c r="S134" s="214"/>
      <c r="T134" s="214"/>
      <c r="U134" s="214"/>
    </row>
    <row r="135" spans="2:21" x14ac:dyDescent="0.25">
      <c r="B135" s="258" t="s">
        <v>320</v>
      </c>
      <c r="C135" s="269" t="s">
        <v>151</v>
      </c>
      <c r="D135" s="270"/>
      <c r="E135" s="251">
        <f t="shared" ref="E135:J135" si="35">(((E51/30)/12)*6)*0.0002</f>
        <v>4.6973333333333337E-3</v>
      </c>
      <c r="F135" s="251">
        <f t="shared" si="35"/>
        <v>4.6973333333333337E-3</v>
      </c>
      <c r="G135" s="251">
        <f t="shared" si="35"/>
        <v>6.1846108422222218E-3</v>
      </c>
      <c r="H135" s="251">
        <f t="shared" si="35"/>
        <v>6.5040000000000011E-3</v>
      </c>
      <c r="I135" s="251" t="e">
        <f t="shared" si="35"/>
        <v>#VALUE!</v>
      </c>
      <c r="J135" s="251" t="e">
        <f t="shared" si="35"/>
        <v>#VALUE!</v>
      </c>
      <c r="K135" s="264"/>
      <c r="L135" s="242"/>
      <c r="P135" s="214"/>
      <c r="Q135" s="214"/>
      <c r="R135" s="214"/>
      <c r="S135" s="214"/>
      <c r="T135" s="214"/>
      <c r="U135" s="214"/>
    </row>
    <row r="136" spans="2:21" ht="30.75" customHeight="1" x14ac:dyDescent="0.25">
      <c r="B136" s="271" t="s">
        <v>321</v>
      </c>
      <c r="C136" s="496" t="s">
        <v>322</v>
      </c>
      <c r="D136" s="496"/>
      <c r="E136" s="272">
        <f t="shared" ref="E136:J136" si="36">SUM(E124:E135)*$D$77</f>
        <v>12.903129985777779</v>
      </c>
      <c r="F136" s="272">
        <f t="shared" si="36"/>
        <v>12.903129985777779</v>
      </c>
      <c r="G136" s="272">
        <f t="shared" si="36"/>
        <v>16.988540507091379</v>
      </c>
      <c r="H136" s="272">
        <f t="shared" si="36"/>
        <v>17.865872288000006</v>
      </c>
      <c r="I136" s="272" t="e">
        <f t="shared" si="36"/>
        <v>#VALUE!</v>
      </c>
      <c r="J136" s="272" t="e">
        <f t="shared" si="36"/>
        <v>#VALUE!</v>
      </c>
      <c r="K136" s="264"/>
      <c r="L136" s="242"/>
      <c r="P136" s="214"/>
      <c r="Q136" s="214"/>
      <c r="R136" s="214"/>
      <c r="S136" s="214"/>
      <c r="T136" s="214"/>
      <c r="U136" s="214"/>
    </row>
    <row r="137" spans="2:21" ht="16.5" customHeight="1" x14ac:dyDescent="0.25">
      <c r="B137" s="491" t="s">
        <v>288</v>
      </c>
      <c r="C137" s="491"/>
      <c r="D137" s="491"/>
      <c r="E137" s="263">
        <f t="shared" ref="E137:J137" si="37">SUM(E124:E136)</f>
        <v>47.965983208000004</v>
      </c>
      <c r="F137" s="263">
        <f t="shared" si="37"/>
        <v>47.965983208000004</v>
      </c>
      <c r="G137" s="263">
        <f t="shared" si="37"/>
        <v>63.153052754622294</v>
      </c>
      <c r="H137" s="263">
        <f t="shared" si="37"/>
        <v>66.414438288000014</v>
      </c>
      <c r="I137" s="263" t="e">
        <f t="shared" si="37"/>
        <v>#VALUE!</v>
      </c>
      <c r="J137" s="263" t="e">
        <f t="shared" si="37"/>
        <v>#VALUE!</v>
      </c>
      <c r="K137" s="264"/>
      <c r="L137" s="242"/>
      <c r="P137" s="214"/>
      <c r="Q137" s="214"/>
      <c r="R137" s="214"/>
      <c r="S137" s="214"/>
      <c r="T137" s="214"/>
      <c r="U137" s="214"/>
    </row>
    <row r="138" spans="2:21" x14ac:dyDescent="0.25">
      <c r="F138" s="264"/>
      <c r="G138" s="264"/>
      <c r="H138" s="264"/>
      <c r="I138" s="264"/>
      <c r="J138" s="264"/>
      <c r="K138" s="264"/>
      <c r="L138" s="242"/>
      <c r="P138" s="214"/>
      <c r="Q138" s="214"/>
      <c r="R138" s="214"/>
      <c r="S138" s="214"/>
      <c r="T138" s="214"/>
    </row>
    <row r="139" spans="2:21" x14ac:dyDescent="0.25">
      <c r="L139" s="242"/>
      <c r="P139" s="214"/>
      <c r="Q139" s="214"/>
      <c r="R139" s="214"/>
      <c r="S139" s="214"/>
      <c r="T139" s="214"/>
    </row>
    <row r="140" spans="2:21" x14ac:dyDescent="0.25">
      <c r="B140" s="493" t="s">
        <v>323</v>
      </c>
      <c r="C140" s="493"/>
      <c r="D140" s="493"/>
      <c r="E140" s="493"/>
      <c r="F140" s="493"/>
      <c r="G140" s="493"/>
      <c r="H140" s="493"/>
      <c r="I140" s="493"/>
      <c r="J140" s="493"/>
      <c r="L140" s="242"/>
      <c r="P140" s="214"/>
      <c r="Q140" s="214"/>
      <c r="R140" s="214"/>
      <c r="S140" s="214"/>
      <c r="T140" s="214"/>
    </row>
    <row r="141" spans="2:21" x14ac:dyDescent="0.25">
      <c r="B141" s="266"/>
      <c r="C141" s="256"/>
      <c r="D141" s="256"/>
      <c r="E141" s="256"/>
      <c r="L141" s="242"/>
      <c r="P141" s="214"/>
      <c r="Q141" s="214"/>
      <c r="R141" s="214"/>
      <c r="S141" s="214"/>
      <c r="T141" s="214"/>
    </row>
    <row r="142" spans="2:21" ht="31.5" x14ac:dyDescent="0.25">
      <c r="B142" s="266"/>
      <c r="C142" s="256"/>
      <c r="D142" s="256"/>
      <c r="E142" s="227" t="s">
        <v>240</v>
      </c>
      <c r="F142" s="227" t="s">
        <v>242</v>
      </c>
      <c r="G142" s="239" t="s">
        <v>243</v>
      </c>
      <c r="H142" s="239" t="s">
        <v>244</v>
      </c>
      <c r="I142" s="239" t="s">
        <v>245</v>
      </c>
      <c r="J142" s="239" t="s">
        <v>246</v>
      </c>
      <c r="L142" s="242"/>
      <c r="P142" s="214"/>
      <c r="Q142" s="214"/>
      <c r="R142" s="214"/>
      <c r="S142" s="214"/>
      <c r="T142" s="214"/>
    </row>
    <row r="143" spans="2:21" ht="16.5" customHeight="1" x14ac:dyDescent="0.25">
      <c r="B143" s="257" t="s">
        <v>324</v>
      </c>
      <c r="C143" s="491" t="s">
        <v>325</v>
      </c>
      <c r="D143" s="491"/>
      <c r="E143" s="250" t="s">
        <v>263</v>
      </c>
      <c r="F143" s="250" t="s">
        <v>263</v>
      </c>
      <c r="G143" s="250" t="s">
        <v>263</v>
      </c>
      <c r="H143" s="250" t="s">
        <v>263</v>
      </c>
      <c r="I143" s="250" t="s">
        <v>263</v>
      </c>
      <c r="J143" s="250" t="s">
        <v>263</v>
      </c>
      <c r="L143" s="242"/>
      <c r="P143" s="214"/>
      <c r="Q143" s="214"/>
      <c r="R143" s="214"/>
      <c r="S143" s="214"/>
      <c r="T143" s="214"/>
      <c r="U143" s="214"/>
    </row>
    <row r="144" spans="2:21" ht="16.5" customHeight="1" x14ac:dyDescent="0.25">
      <c r="B144" s="258" t="s">
        <v>227</v>
      </c>
      <c r="C144" s="495" t="s">
        <v>326</v>
      </c>
      <c r="D144" s="495"/>
      <c r="E144" s="261"/>
      <c r="F144" s="261"/>
      <c r="G144" s="261"/>
      <c r="H144" s="261"/>
      <c r="I144" s="261"/>
      <c r="J144" s="261"/>
      <c r="L144" s="242"/>
      <c r="P144" s="214"/>
      <c r="Q144" s="214"/>
      <c r="R144" s="214"/>
      <c r="S144" s="214"/>
      <c r="T144" s="214"/>
      <c r="U144" s="214"/>
    </row>
    <row r="145" spans="2:21" ht="16.5" customHeight="1" x14ac:dyDescent="0.25">
      <c r="B145" s="491" t="s">
        <v>44</v>
      </c>
      <c r="C145" s="491"/>
      <c r="D145" s="491"/>
      <c r="E145" s="261">
        <f t="shared" ref="E145:J145" si="38">SUM(E144)</f>
        <v>0</v>
      </c>
      <c r="F145" s="261">
        <f t="shared" si="38"/>
        <v>0</v>
      </c>
      <c r="G145" s="261">
        <f t="shared" si="38"/>
        <v>0</v>
      </c>
      <c r="H145" s="261">
        <f t="shared" si="38"/>
        <v>0</v>
      </c>
      <c r="I145" s="261">
        <f t="shared" si="38"/>
        <v>0</v>
      </c>
      <c r="J145" s="261">
        <f t="shared" si="38"/>
        <v>0</v>
      </c>
      <c r="L145" s="242"/>
      <c r="P145" s="214"/>
      <c r="Q145" s="214"/>
      <c r="R145" s="214"/>
      <c r="S145" s="214"/>
      <c r="T145" s="214"/>
      <c r="U145" s="214"/>
    </row>
    <row r="146" spans="2:21" x14ac:dyDescent="0.25">
      <c r="B146" s="273"/>
      <c r="C146" s="273"/>
      <c r="D146" s="273"/>
      <c r="E146" s="273"/>
      <c r="L146" s="242"/>
      <c r="P146" s="214"/>
      <c r="Q146" s="214"/>
      <c r="R146" s="214"/>
      <c r="S146" s="214"/>
      <c r="T146" s="214"/>
    </row>
    <row r="147" spans="2:21" x14ac:dyDescent="0.25">
      <c r="B147" s="273"/>
      <c r="C147" s="273"/>
      <c r="D147" s="273"/>
      <c r="E147" s="273"/>
      <c r="L147" s="242"/>
      <c r="P147" s="214"/>
      <c r="Q147" s="214"/>
      <c r="R147" s="214"/>
      <c r="S147" s="214"/>
      <c r="T147" s="214"/>
    </row>
    <row r="148" spans="2:21" x14ac:dyDescent="0.25">
      <c r="B148" s="493" t="s">
        <v>327</v>
      </c>
      <c r="C148" s="493"/>
      <c r="D148" s="493"/>
      <c r="E148" s="493"/>
      <c r="F148" s="493"/>
      <c r="G148" s="493"/>
      <c r="H148" s="493"/>
      <c r="I148" s="493"/>
      <c r="J148" s="493"/>
      <c r="L148" s="242"/>
      <c r="P148" s="214"/>
      <c r="Q148" s="214"/>
      <c r="R148" s="214"/>
      <c r="S148" s="214"/>
      <c r="T148" s="214"/>
    </row>
    <row r="149" spans="2:21" x14ac:dyDescent="0.25">
      <c r="B149" s="266"/>
      <c r="C149" s="256"/>
      <c r="D149" s="256"/>
      <c r="E149" s="256"/>
      <c r="L149" s="242"/>
      <c r="P149" s="214"/>
      <c r="Q149" s="214"/>
      <c r="R149" s="214"/>
      <c r="S149" s="214"/>
      <c r="T149" s="214"/>
    </row>
    <row r="150" spans="2:21" ht="31.5" x14ac:dyDescent="0.25">
      <c r="B150" s="266"/>
      <c r="C150" s="256"/>
      <c r="D150" s="256"/>
      <c r="E150" s="227" t="s">
        <v>240</v>
      </c>
      <c r="F150" s="227" t="s">
        <v>242</v>
      </c>
      <c r="G150" s="239" t="s">
        <v>243</v>
      </c>
      <c r="H150" s="239" t="s">
        <v>244</v>
      </c>
      <c r="I150" s="239" t="s">
        <v>245</v>
      </c>
      <c r="J150" s="239" t="s">
        <v>246</v>
      </c>
      <c r="L150" s="242"/>
      <c r="P150" s="214"/>
      <c r="Q150" s="214"/>
      <c r="R150" s="214"/>
      <c r="S150" s="214"/>
      <c r="T150" s="214"/>
    </row>
    <row r="151" spans="2:21" ht="16.5" customHeight="1" x14ac:dyDescent="0.25">
      <c r="B151" s="257">
        <v>4</v>
      </c>
      <c r="C151" s="491" t="s">
        <v>328</v>
      </c>
      <c r="D151" s="491"/>
      <c r="E151" s="250" t="s">
        <v>263</v>
      </c>
      <c r="F151" s="250" t="s">
        <v>263</v>
      </c>
      <c r="G151" s="250" t="s">
        <v>263</v>
      </c>
      <c r="H151" s="250" t="s">
        <v>263</v>
      </c>
      <c r="I151" s="250" t="s">
        <v>263</v>
      </c>
      <c r="J151" s="250" t="s">
        <v>263</v>
      </c>
      <c r="L151" s="242"/>
      <c r="P151" s="214"/>
      <c r="Q151" s="214"/>
      <c r="R151" s="214"/>
      <c r="S151" s="214"/>
      <c r="T151" s="214"/>
      <c r="U151" s="214"/>
    </row>
    <row r="152" spans="2:21" ht="16.5" customHeight="1" x14ac:dyDescent="0.25">
      <c r="B152" s="258" t="s">
        <v>314</v>
      </c>
      <c r="C152" s="495" t="s">
        <v>315</v>
      </c>
      <c r="D152" s="495"/>
      <c r="E152" s="251">
        <f t="shared" ref="E152:J152" si="39">E137</f>
        <v>47.965983208000004</v>
      </c>
      <c r="F152" s="251">
        <f t="shared" si="39"/>
        <v>47.965983208000004</v>
      </c>
      <c r="G152" s="251">
        <f t="shared" si="39"/>
        <v>63.153052754622294</v>
      </c>
      <c r="H152" s="251">
        <f t="shared" si="39"/>
        <v>66.414438288000014</v>
      </c>
      <c r="I152" s="251" t="e">
        <f t="shared" si="39"/>
        <v>#VALUE!</v>
      </c>
      <c r="J152" s="251" t="e">
        <f t="shared" si="39"/>
        <v>#VALUE!</v>
      </c>
      <c r="L152" s="242"/>
      <c r="P152" s="214"/>
      <c r="Q152" s="214"/>
      <c r="R152" s="214"/>
      <c r="S152" s="214"/>
      <c r="T152" s="214"/>
      <c r="U152" s="214"/>
    </row>
    <row r="153" spans="2:21" ht="16.5" customHeight="1" x14ac:dyDescent="0.25">
      <c r="B153" s="258" t="s">
        <v>324</v>
      </c>
      <c r="C153" s="495" t="s">
        <v>325</v>
      </c>
      <c r="D153" s="495"/>
      <c r="E153" s="251">
        <f t="shared" ref="E153:J153" si="40">E145</f>
        <v>0</v>
      </c>
      <c r="F153" s="251">
        <f t="shared" si="40"/>
        <v>0</v>
      </c>
      <c r="G153" s="251">
        <f t="shared" si="40"/>
        <v>0</v>
      </c>
      <c r="H153" s="251">
        <f t="shared" si="40"/>
        <v>0</v>
      </c>
      <c r="I153" s="251">
        <f t="shared" si="40"/>
        <v>0</v>
      </c>
      <c r="J153" s="251">
        <f t="shared" si="40"/>
        <v>0</v>
      </c>
      <c r="L153" s="242"/>
      <c r="P153" s="214"/>
      <c r="Q153" s="214"/>
      <c r="R153" s="214"/>
      <c r="S153" s="214"/>
      <c r="T153" s="214"/>
      <c r="U153" s="214"/>
    </row>
    <row r="154" spans="2:21" ht="16.5" customHeight="1" x14ac:dyDescent="0.25">
      <c r="B154" s="491" t="s">
        <v>44</v>
      </c>
      <c r="C154" s="491"/>
      <c r="D154" s="491"/>
      <c r="E154" s="274">
        <f t="shared" ref="E154:J154" si="41">SUM(E152:E153)</f>
        <v>47.965983208000004</v>
      </c>
      <c r="F154" s="274">
        <f t="shared" si="41"/>
        <v>47.965983208000004</v>
      </c>
      <c r="G154" s="274">
        <f t="shared" si="41"/>
        <v>63.153052754622294</v>
      </c>
      <c r="H154" s="274">
        <f t="shared" si="41"/>
        <v>66.414438288000014</v>
      </c>
      <c r="I154" s="274" t="e">
        <f t="shared" si="41"/>
        <v>#VALUE!</v>
      </c>
      <c r="J154" s="274" t="e">
        <f t="shared" si="41"/>
        <v>#VALUE!</v>
      </c>
      <c r="L154" s="242"/>
      <c r="P154" s="214"/>
      <c r="Q154" s="214"/>
      <c r="R154" s="214"/>
      <c r="S154" s="214"/>
      <c r="T154" s="214"/>
      <c r="U154" s="214"/>
    </row>
    <row r="155" spans="2:21" x14ac:dyDescent="0.25">
      <c r="B155" s="273"/>
      <c r="C155" s="273"/>
      <c r="D155" s="273"/>
      <c r="E155" s="273"/>
      <c r="L155" s="242"/>
      <c r="P155" s="214"/>
      <c r="Q155" s="214"/>
      <c r="R155" s="214"/>
      <c r="S155" s="214"/>
      <c r="T155" s="214"/>
    </row>
    <row r="156" spans="2:21" x14ac:dyDescent="0.25">
      <c r="B156" s="273"/>
      <c r="C156" s="273"/>
      <c r="D156" s="273"/>
      <c r="E156" s="273"/>
      <c r="L156" s="242"/>
      <c r="P156" s="214"/>
      <c r="Q156" s="214"/>
      <c r="R156" s="214"/>
      <c r="S156" s="214"/>
      <c r="T156" s="214"/>
    </row>
    <row r="157" spans="2:21" x14ac:dyDescent="0.25">
      <c r="B157" s="490" t="s">
        <v>329</v>
      </c>
      <c r="C157" s="490"/>
      <c r="D157" s="490"/>
      <c r="E157" s="490"/>
      <c r="F157" s="490"/>
      <c r="G157" s="490"/>
      <c r="H157" s="490"/>
      <c r="I157" s="490"/>
      <c r="J157" s="490"/>
      <c r="K157" s="264"/>
      <c r="L157" s="264" t="s">
        <v>312</v>
      </c>
      <c r="P157" s="214"/>
      <c r="Q157" s="214"/>
      <c r="R157" s="214"/>
      <c r="S157" s="214"/>
      <c r="T157" s="214"/>
    </row>
    <row r="158" spans="2:21" x14ac:dyDescent="0.25">
      <c r="B158" s="256"/>
      <c r="C158" s="256"/>
      <c r="D158" s="256"/>
      <c r="E158" s="256"/>
      <c r="L158" s="242"/>
      <c r="P158" s="214"/>
      <c r="Q158" s="214"/>
      <c r="R158" s="214"/>
      <c r="S158" s="214"/>
      <c r="T158" s="214"/>
    </row>
    <row r="159" spans="2:21" ht="31.5" x14ac:dyDescent="0.25">
      <c r="B159" s="256"/>
      <c r="C159" s="256"/>
      <c r="D159" s="256"/>
      <c r="E159" s="227" t="s">
        <v>240</v>
      </c>
      <c r="F159" s="227" t="s">
        <v>242</v>
      </c>
      <c r="G159" s="239" t="s">
        <v>243</v>
      </c>
      <c r="H159" s="239" t="s">
        <v>244</v>
      </c>
      <c r="I159" s="239" t="s">
        <v>245</v>
      </c>
      <c r="J159" s="239" t="s">
        <v>246</v>
      </c>
      <c r="L159" s="242"/>
      <c r="P159" s="214"/>
      <c r="Q159" s="214"/>
      <c r="R159" s="214"/>
      <c r="S159" s="214"/>
      <c r="T159" s="214"/>
    </row>
    <row r="160" spans="2:21" ht="16.5" customHeight="1" x14ac:dyDescent="0.25">
      <c r="B160" s="257">
        <v>5</v>
      </c>
      <c r="C160" s="491" t="s">
        <v>217</v>
      </c>
      <c r="D160" s="491"/>
      <c r="E160" s="250" t="s">
        <v>263</v>
      </c>
      <c r="F160" s="250" t="s">
        <v>263</v>
      </c>
      <c r="G160" s="250" t="s">
        <v>263</v>
      </c>
      <c r="H160" s="250" t="s">
        <v>263</v>
      </c>
      <c r="I160" s="250" t="s">
        <v>263</v>
      </c>
      <c r="J160" s="250" t="s">
        <v>263</v>
      </c>
      <c r="L160" s="242"/>
      <c r="P160" s="214"/>
      <c r="Q160" s="214"/>
      <c r="R160" s="214"/>
      <c r="S160" s="214"/>
      <c r="T160" s="214"/>
      <c r="U160" s="214"/>
    </row>
    <row r="161" spans="2:21" ht="16.5" customHeight="1" x14ac:dyDescent="0.25">
      <c r="B161" s="258" t="s">
        <v>227</v>
      </c>
      <c r="C161" s="495" t="s">
        <v>330</v>
      </c>
      <c r="D161" s="495"/>
      <c r="E161" s="251">
        <f>(E51+E102+E115+E154)*5.12%</f>
        <v>148.63088642771629</v>
      </c>
      <c r="F161" s="251">
        <f>(F51+F102+F115+F154)*3.05%</f>
        <v>85.301810349844004</v>
      </c>
      <c r="G161" s="251">
        <f>(G51+G102+G115+G154)*3.05%</f>
        <v>105.30514706722319</v>
      </c>
      <c r="H161" s="251">
        <f>(H51+H102+H115+H154)*5.12%</f>
        <v>186.92110313581227</v>
      </c>
      <c r="I161" s="251" t="e">
        <f>(I51+I102+I115+I154)*3.05%</f>
        <v>#VALUE!</v>
      </c>
      <c r="J161" s="251" t="e">
        <f>(J51+J102+J115+J154)*3.05%</f>
        <v>#VALUE!</v>
      </c>
      <c r="L161" s="242"/>
      <c r="P161" s="214"/>
      <c r="Q161" s="214"/>
      <c r="R161" s="214"/>
      <c r="S161" s="214"/>
      <c r="T161" s="214"/>
      <c r="U161" s="214"/>
    </row>
    <row r="162" spans="2:21" ht="16.5" customHeight="1" x14ac:dyDescent="0.25">
      <c r="B162" s="491" t="s">
        <v>288</v>
      </c>
      <c r="C162" s="491"/>
      <c r="D162" s="491"/>
      <c r="E162" s="274">
        <f t="shared" ref="E162:J162" si="42">SUM(E161:E161)</f>
        <v>148.63088642771629</v>
      </c>
      <c r="F162" s="274">
        <f t="shared" si="42"/>
        <v>85.301810349844004</v>
      </c>
      <c r="G162" s="274">
        <f t="shared" si="42"/>
        <v>105.30514706722319</v>
      </c>
      <c r="H162" s="274">
        <f t="shared" si="42"/>
        <v>186.92110313581227</v>
      </c>
      <c r="I162" s="274" t="e">
        <f t="shared" si="42"/>
        <v>#VALUE!</v>
      </c>
      <c r="J162" s="274" t="e">
        <f t="shared" si="42"/>
        <v>#VALUE!</v>
      </c>
      <c r="L162" s="242"/>
      <c r="P162" s="214"/>
      <c r="Q162" s="214"/>
      <c r="R162" s="214"/>
      <c r="S162" s="214"/>
      <c r="T162" s="214"/>
      <c r="U162" s="214"/>
    </row>
    <row r="163" spans="2:21" x14ac:dyDescent="0.25">
      <c r="L163" s="242"/>
      <c r="P163" s="214"/>
      <c r="Q163" s="214"/>
      <c r="R163" s="214"/>
      <c r="S163" s="214"/>
      <c r="T163" s="214"/>
    </row>
    <row r="164" spans="2:21" x14ac:dyDescent="0.25">
      <c r="L164" s="242"/>
      <c r="P164" s="214"/>
      <c r="Q164" s="214"/>
      <c r="R164" s="214"/>
      <c r="S164" s="214"/>
      <c r="T164" s="214"/>
    </row>
    <row r="165" spans="2:21" x14ac:dyDescent="0.25">
      <c r="L165" s="242"/>
      <c r="P165" s="214"/>
      <c r="Q165" s="214"/>
      <c r="R165" s="214"/>
      <c r="S165" s="214"/>
      <c r="T165" s="214"/>
    </row>
    <row r="166" spans="2:21" x14ac:dyDescent="0.25">
      <c r="B166" s="490" t="s">
        <v>331</v>
      </c>
      <c r="C166" s="490"/>
      <c r="D166" s="490"/>
      <c r="E166" s="490"/>
      <c r="F166" s="490"/>
      <c r="G166" s="490"/>
      <c r="H166" s="490"/>
      <c r="I166" s="490"/>
      <c r="J166" s="490"/>
      <c r="L166" s="242"/>
      <c r="P166" s="214"/>
      <c r="Q166" s="214"/>
      <c r="R166" s="214"/>
      <c r="S166" s="214"/>
      <c r="T166" s="214"/>
    </row>
    <row r="167" spans="2:21" x14ac:dyDescent="0.25">
      <c r="B167" s="256"/>
      <c r="C167" s="256"/>
      <c r="D167" s="256"/>
      <c r="E167" s="256"/>
      <c r="L167" s="242"/>
      <c r="P167" s="214"/>
      <c r="Q167" s="214"/>
      <c r="R167" s="214"/>
      <c r="S167" s="214"/>
      <c r="T167" s="214"/>
    </row>
    <row r="168" spans="2:21" ht="31.5" x14ac:dyDescent="0.25">
      <c r="B168" s="256"/>
      <c r="C168" s="256"/>
      <c r="D168" s="256"/>
      <c r="E168" s="227" t="s">
        <v>240</v>
      </c>
      <c r="F168" s="227" t="s">
        <v>242</v>
      </c>
      <c r="G168" s="239" t="s">
        <v>243</v>
      </c>
      <c r="H168" s="239" t="s">
        <v>244</v>
      </c>
      <c r="I168" s="239" t="s">
        <v>245</v>
      </c>
      <c r="J168" s="239" t="s">
        <v>246</v>
      </c>
      <c r="L168" s="242"/>
      <c r="P168" s="214"/>
      <c r="Q168" s="214"/>
      <c r="R168" s="214"/>
      <c r="S168" s="214"/>
      <c r="T168" s="214"/>
    </row>
    <row r="169" spans="2:21" x14ac:dyDescent="0.25">
      <c r="B169" s="257">
        <v>6</v>
      </c>
      <c r="C169" s="275" t="s">
        <v>218</v>
      </c>
      <c r="D169" s="250" t="s">
        <v>281</v>
      </c>
      <c r="E169" s="250" t="s">
        <v>263</v>
      </c>
      <c r="F169" s="250" t="s">
        <v>263</v>
      </c>
      <c r="G169" s="250" t="s">
        <v>263</v>
      </c>
      <c r="H169" s="250" t="s">
        <v>263</v>
      </c>
      <c r="I169" s="250" t="s">
        <v>263</v>
      </c>
      <c r="J169" s="250" t="s">
        <v>263</v>
      </c>
      <c r="L169" s="242"/>
      <c r="P169" s="214"/>
      <c r="Q169" s="214"/>
      <c r="R169" s="214"/>
      <c r="S169" s="214"/>
      <c r="T169" s="214"/>
    </row>
    <row r="170" spans="2:21" x14ac:dyDescent="0.25">
      <c r="B170" s="258" t="s">
        <v>227</v>
      </c>
      <c r="C170" s="276" t="s">
        <v>200</v>
      </c>
      <c r="D170" s="277">
        <v>0.06</v>
      </c>
      <c r="E170" s="251">
        <f t="shared" ref="E170:J170" si="43">(E162+E154+E115+E102+E51)*$D$170</f>
        <v>183.09467321814296</v>
      </c>
      <c r="F170" s="251">
        <f t="shared" si="43"/>
        <v>172.92494865347064</v>
      </c>
      <c r="G170" s="251">
        <f t="shared" si="43"/>
        <v>213.47597518578388</v>
      </c>
      <c r="H170" s="251">
        <f t="shared" si="43"/>
        <v>230.26343392542873</v>
      </c>
      <c r="I170" s="251" t="e">
        <f t="shared" si="43"/>
        <v>#VALUE!</v>
      </c>
      <c r="J170" s="251" t="e">
        <f t="shared" si="43"/>
        <v>#VALUE!</v>
      </c>
      <c r="L170" s="278" t="s">
        <v>312</v>
      </c>
      <c r="P170" s="214"/>
      <c r="Q170" s="214"/>
      <c r="R170" s="214"/>
      <c r="S170" s="214"/>
      <c r="T170" s="214"/>
    </row>
    <row r="171" spans="2:21" x14ac:dyDescent="0.25">
      <c r="B171" s="258" t="s">
        <v>229</v>
      </c>
      <c r="C171" s="276" t="s">
        <v>202</v>
      </c>
      <c r="D171" s="277">
        <v>6.7900000000000002E-2</v>
      </c>
      <c r="E171" s="251">
        <f t="shared" ref="E171:J171" si="44">(E162+E154+E115+E102+E51+E170)*$D$171</f>
        <v>219.63426683671037</v>
      </c>
      <c r="F171" s="251">
        <f t="shared" si="44"/>
        <v>207.43500423974825</v>
      </c>
      <c r="G171" s="251">
        <f t="shared" si="44"/>
        <v>256.07866396702684</v>
      </c>
      <c r="H171" s="251">
        <f t="shared" si="44"/>
        <v>276.21633988914681</v>
      </c>
      <c r="I171" s="251" t="e">
        <f t="shared" si="44"/>
        <v>#VALUE!</v>
      </c>
      <c r="J171" s="251" t="e">
        <f t="shared" si="44"/>
        <v>#VALUE!</v>
      </c>
      <c r="L171" s="278" t="s">
        <v>312</v>
      </c>
      <c r="P171" s="214"/>
      <c r="Q171" s="214"/>
      <c r="R171" s="214"/>
      <c r="S171" s="214"/>
      <c r="T171" s="214"/>
    </row>
    <row r="172" spans="2:21" x14ac:dyDescent="0.25">
      <c r="B172" s="258" t="s">
        <v>232</v>
      </c>
      <c r="C172" s="276" t="s">
        <v>201</v>
      </c>
      <c r="D172" s="277"/>
      <c r="E172" s="261"/>
      <c r="F172" s="261"/>
      <c r="G172" s="261"/>
      <c r="H172" s="261"/>
      <c r="I172" s="261"/>
      <c r="J172" s="261"/>
      <c r="L172" s="242"/>
      <c r="P172" s="214"/>
      <c r="Q172" s="214"/>
      <c r="R172" s="214"/>
      <c r="S172" s="214"/>
      <c r="T172" s="214"/>
    </row>
    <row r="173" spans="2:21" ht="30" x14ac:dyDescent="0.25">
      <c r="B173" s="258"/>
      <c r="C173" s="276" t="s">
        <v>332</v>
      </c>
      <c r="D173" s="279">
        <f>1-(D174+D175+D176+D177)</f>
        <v>0.91349999999999998</v>
      </c>
      <c r="E173" s="280">
        <f t="shared" ref="E173:J173" si="45">(E162+E154+E115+E102+E51+E170+E171)/$D$173</f>
        <v>3781.3977307322416</v>
      </c>
      <c r="F173" s="280">
        <f t="shared" si="45"/>
        <v>3571.3655505758761</v>
      </c>
      <c r="G173" s="280">
        <f t="shared" si="45"/>
        <v>4408.8533759341826</v>
      </c>
      <c r="H173" s="280">
        <f t="shared" si="45"/>
        <v>4755.5595758858462</v>
      </c>
      <c r="I173" s="280" t="e">
        <f t="shared" si="45"/>
        <v>#VALUE!</v>
      </c>
      <c r="J173" s="280" t="e">
        <f t="shared" si="45"/>
        <v>#VALUE!</v>
      </c>
      <c r="L173" s="242"/>
      <c r="P173" s="214"/>
      <c r="Q173" s="214"/>
      <c r="R173" s="214"/>
      <c r="S173" s="214"/>
      <c r="T173" s="214"/>
    </row>
    <row r="174" spans="2:21" x14ac:dyDescent="0.25">
      <c r="B174" s="258"/>
      <c r="C174" s="276" t="s">
        <v>333</v>
      </c>
      <c r="D174" s="277">
        <v>6.4999999999999997E-3</v>
      </c>
      <c r="E174" s="251">
        <f t="shared" ref="E174:J174" si="46">E173*$D$174</f>
        <v>24.579085249759569</v>
      </c>
      <c r="F174" s="251">
        <f t="shared" si="46"/>
        <v>23.213876078743194</v>
      </c>
      <c r="G174" s="251">
        <f t="shared" si="46"/>
        <v>28.657546943572186</v>
      </c>
      <c r="H174" s="251">
        <f t="shared" si="46"/>
        <v>30.911137243258</v>
      </c>
      <c r="I174" s="251" t="e">
        <f t="shared" si="46"/>
        <v>#VALUE!</v>
      </c>
      <c r="J174" s="251" t="e">
        <f t="shared" si="46"/>
        <v>#VALUE!</v>
      </c>
      <c r="L174" s="242"/>
      <c r="P174" s="214"/>
      <c r="Q174" s="214"/>
      <c r="R174" s="214"/>
      <c r="S174" s="214"/>
      <c r="T174" s="214"/>
    </row>
    <row r="175" spans="2:21" x14ac:dyDescent="0.25">
      <c r="B175" s="258"/>
      <c r="C175" s="276" t="s">
        <v>334</v>
      </c>
      <c r="D175" s="277">
        <v>0.03</v>
      </c>
      <c r="E175" s="251">
        <f t="shared" ref="E175:J175" si="47">E173*$D$175</f>
        <v>113.44193192196724</v>
      </c>
      <c r="F175" s="251">
        <f t="shared" si="47"/>
        <v>107.14096651727628</v>
      </c>
      <c r="G175" s="251">
        <f t="shared" si="47"/>
        <v>132.26560127802549</v>
      </c>
      <c r="H175" s="251">
        <f t="shared" si="47"/>
        <v>142.66678727657538</v>
      </c>
      <c r="I175" s="251" t="e">
        <f t="shared" si="47"/>
        <v>#VALUE!</v>
      </c>
      <c r="J175" s="251" t="e">
        <f t="shared" si="47"/>
        <v>#VALUE!</v>
      </c>
      <c r="L175" s="242"/>
      <c r="P175" s="214"/>
      <c r="Q175" s="214"/>
      <c r="R175" s="214"/>
      <c r="S175" s="214"/>
      <c r="T175" s="214"/>
    </row>
    <row r="176" spans="2:21" x14ac:dyDescent="0.25">
      <c r="B176" s="258"/>
      <c r="C176" s="276" t="s">
        <v>335</v>
      </c>
      <c r="D176" s="277"/>
      <c r="E176" s="251">
        <f t="shared" ref="E176:J176" si="48">E173*$D$176</f>
        <v>0</v>
      </c>
      <c r="F176" s="251">
        <f t="shared" si="48"/>
        <v>0</v>
      </c>
      <c r="G176" s="251">
        <f t="shared" si="48"/>
        <v>0</v>
      </c>
      <c r="H176" s="251">
        <f t="shared" si="48"/>
        <v>0</v>
      </c>
      <c r="I176" s="251" t="e">
        <f t="shared" si="48"/>
        <v>#VALUE!</v>
      </c>
      <c r="J176" s="251" t="e">
        <f t="shared" si="48"/>
        <v>#VALUE!</v>
      </c>
      <c r="L176" s="242"/>
      <c r="P176" s="214"/>
      <c r="Q176" s="214"/>
      <c r="R176" s="214"/>
      <c r="S176" s="214"/>
      <c r="T176" s="214"/>
    </row>
    <row r="177" spans="2:21" x14ac:dyDescent="0.25">
      <c r="B177" s="258"/>
      <c r="C177" s="276" t="s">
        <v>336</v>
      </c>
      <c r="D177" s="277">
        <v>0.05</v>
      </c>
      <c r="E177" s="251">
        <f t="shared" ref="E177:J177" si="49">E173*$D$177</f>
        <v>189.0698865366121</v>
      </c>
      <c r="F177" s="251">
        <f t="shared" si="49"/>
        <v>178.56827752879383</v>
      </c>
      <c r="G177" s="251">
        <f t="shared" si="49"/>
        <v>220.44266879670914</v>
      </c>
      <c r="H177" s="251">
        <f t="shared" si="49"/>
        <v>237.77797879429232</v>
      </c>
      <c r="I177" s="251" t="e">
        <f t="shared" si="49"/>
        <v>#VALUE!</v>
      </c>
      <c r="J177" s="251" t="e">
        <f t="shared" si="49"/>
        <v>#VALUE!</v>
      </c>
      <c r="L177" s="242"/>
      <c r="P177" s="214"/>
      <c r="Q177" s="214"/>
      <c r="R177" s="214"/>
      <c r="S177" s="214"/>
      <c r="T177" s="214"/>
    </row>
    <row r="178" spans="2:21" ht="16.5" customHeight="1" x14ac:dyDescent="0.25">
      <c r="B178" s="491" t="s">
        <v>288</v>
      </c>
      <c r="C178" s="491"/>
      <c r="D178" s="281">
        <f>SUM(D174:D177)</f>
        <v>8.6499999999999994E-2</v>
      </c>
      <c r="E178" s="274">
        <f t="shared" ref="E178:J178" si="50">SUM(E174:E177)+SUM(E170:E171)</f>
        <v>729.81984376319224</v>
      </c>
      <c r="F178" s="274">
        <f t="shared" si="50"/>
        <v>689.28307301803216</v>
      </c>
      <c r="G178" s="274">
        <f t="shared" si="50"/>
        <v>850.92045617111762</v>
      </c>
      <c r="H178" s="274">
        <f t="shared" si="50"/>
        <v>917.83567712870126</v>
      </c>
      <c r="I178" s="274" t="e">
        <f t="shared" si="50"/>
        <v>#VALUE!</v>
      </c>
      <c r="J178" s="274" t="e">
        <f t="shared" si="50"/>
        <v>#VALUE!</v>
      </c>
      <c r="L178" s="242"/>
      <c r="P178" s="214"/>
      <c r="Q178" s="214"/>
      <c r="R178" s="214"/>
      <c r="S178" s="214"/>
      <c r="T178" s="214"/>
    </row>
    <row r="179" spans="2:21" x14ac:dyDescent="0.25">
      <c r="L179" s="242"/>
      <c r="P179" s="214"/>
      <c r="Q179" s="214"/>
      <c r="R179" s="214"/>
      <c r="S179" s="214"/>
      <c r="T179" s="214"/>
    </row>
    <row r="180" spans="2:21" x14ac:dyDescent="0.25">
      <c r="L180" s="242"/>
      <c r="P180" s="214"/>
      <c r="Q180" s="214"/>
      <c r="R180" s="214"/>
      <c r="S180" s="214"/>
      <c r="T180" s="214"/>
    </row>
    <row r="181" spans="2:21" x14ac:dyDescent="0.25">
      <c r="B181" s="484" t="s">
        <v>337</v>
      </c>
      <c r="C181" s="484"/>
      <c r="D181" s="484"/>
      <c r="E181" s="484"/>
      <c r="F181" s="484"/>
      <c r="G181" s="484"/>
      <c r="H181" s="484"/>
      <c r="I181" s="484"/>
      <c r="J181" s="484"/>
      <c r="L181" s="242"/>
      <c r="P181" s="214"/>
      <c r="Q181" s="214"/>
      <c r="R181" s="214"/>
      <c r="S181" s="214"/>
      <c r="T181" s="214"/>
    </row>
    <row r="182" spans="2:21" x14ac:dyDescent="0.25">
      <c r="L182" s="242"/>
      <c r="P182" s="214"/>
      <c r="Q182" s="214"/>
      <c r="R182" s="214"/>
      <c r="S182" s="214"/>
      <c r="T182" s="214"/>
    </row>
    <row r="183" spans="2:21" ht="31.5" x14ac:dyDescent="0.25">
      <c r="E183" s="227" t="s">
        <v>240</v>
      </c>
      <c r="F183" s="227" t="s">
        <v>242</v>
      </c>
      <c r="G183" s="239" t="s">
        <v>243</v>
      </c>
      <c r="H183" s="239" t="s">
        <v>244</v>
      </c>
      <c r="I183" s="239" t="s">
        <v>245</v>
      </c>
      <c r="J183" s="239" t="s">
        <v>246</v>
      </c>
      <c r="L183" s="242"/>
      <c r="P183" s="214"/>
      <c r="Q183" s="214"/>
      <c r="R183" s="214"/>
      <c r="S183" s="214"/>
      <c r="T183" s="214"/>
    </row>
    <row r="184" spans="2:21" ht="32.25" customHeight="1" x14ac:dyDescent="0.25">
      <c r="B184" s="227"/>
      <c r="C184" s="483" t="s">
        <v>338</v>
      </c>
      <c r="D184" s="483"/>
      <c r="E184" s="221" t="s">
        <v>263</v>
      </c>
      <c r="F184" s="221" t="s">
        <v>263</v>
      </c>
      <c r="G184" s="221" t="s">
        <v>263</v>
      </c>
      <c r="H184" s="221" t="s">
        <v>263</v>
      </c>
      <c r="I184" s="221" t="s">
        <v>263</v>
      </c>
      <c r="J184" s="221" t="s">
        <v>263</v>
      </c>
      <c r="L184" s="242"/>
      <c r="P184" s="214"/>
      <c r="Q184" s="214"/>
      <c r="R184" s="214"/>
      <c r="S184" s="214"/>
      <c r="T184" s="214"/>
      <c r="U184" s="214"/>
    </row>
    <row r="185" spans="2:21" ht="16.5" customHeight="1" x14ac:dyDescent="0.25">
      <c r="B185" s="282" t="s">
        <v>227</v>
      </c>
      <c r="C185" s="486" t="s">
        <v>261</v>
      </c>
      <c r="D185" s="486"/>
      <c r="E185" s="224">
        <f t="shared" ref="E185:J185" si="51">E51</f>
        <v>1409.2</v>
      </c>
      <c r="F185" s="224">
        <f t="shared" si="51"/>
        <v>1409.2</v>
      </c>
      <c r="G185" s="224">
        <f t="shared" si="51"/>
        <v>1855.3832526666665</v>
      </c>
      <c r="H185" s="224">
        <f t="shared" si="51"/>
        <v>1951.2</v>
      </c>
      <c r="I185" s="224" t="e">
        <f t="shared" si="51"/>
        <v>#VALUE!</v>
      </c>
      <c r="J185" s="224" t="e">
        <f t="shared" si="51"/>
        <v>#VALUE!</v>
      </c>
      <c r="L185" s="242"/>
      <c r="P185" s="214"/>
      <c r="Q185" s="214"/>
      <c r="R185" s="214"/>
      <c r="S185" s="214"/>
      <c r="T185" s="214"/>
      <c r="U185" s="214"/>
    </row>
    <row r="186" spans="2:21" ht="16.5" customHeight="1" x14ac:dyDescent="0.25">
      <c r="B186" s="282" t="s">
        <v>229</v>
      </c>
      <c r="C186" s="486" t="s">
        <v>272</v>
      </c>
      <c r="D186" s="486"/>
      <c r="E186" s="224">
        <f t="shared" ref="E186:J186" si="52">E102</f>
        <v>1333.3691333333334</v>
      </c>
      <c r="F186" s="224">
        <f t="shared" si="52"/>
        <v>1227.2028</v>
      </c>
      <c r="G186" s="224">
        <f t="shared" si="52"/>
        <v>1386.0875452093333</v>
      </c>
      <c r="H186" s="224">
        <f t="shared" si="52"/>
        <v>1477.5411333333334</v>
      </c>
      <c r="I186" s="224" t="e">
        <f t="shared" si="52"/>
        <v>#VALUE!</v>
      </c>
      <c r="J186" s="224" t="e">
        <f t="shared" si="52"/>
        <v>#VALUE!</v>
      </c>
      <c r="L186" s="242"/>
      <c r="P186" s="214"/>
      <c r="Q186" s="214"/>
      <c r="R186" s="214"/>
      <c r="S186" s="214"/>
      <c r="T186" s="214"/>
      <c r="U186" s="214"/>
    </row>
    <row r="187" spans="2:21" ht="16.5" customHeight="1" x14ac:dyDescent="0.25">
      <c r="B187" s="282" t="s">
        <v>232</v>
      </c>
      <c r="C187" s="486" t="s">
        <v>303</v>
      </c>
      <c r="D187" s="486"/>
      <c r="E187" s="224">
        <f t="shared" ref="E187:J187" si="53">E115</f>
        <v>112.41188400000001</v>
      </c>
      <c r="F187" s="224">
        <f t="shared" si="53"/>
        <v>112.41188400000001</v>
      </c>
      <c r="G187" s="224">
        <f t="shared" si="53"/>
        <v>148.00392206522</v>
      </c>
      <c r="H187" s="224">
        <f t="shared" si="53"/>
        <v>155.64722400000002</v>
      </c>
      <c r="I187" s="224" t="e">
        <f t="shared" si="53"/>
        <v>#VALUE!</v>
      </c>
      <c r="J187" s="224" t="e">
        <f t="shared" si="53"/>
        <v>#VALUE!</v>
      </c>
      <c r="L187" s="242"/>
      <c r="P187" s="214"/>
      <c r="Q187" s="214"/>
      <c r="R187" s="214"/>
      <c r="S187" s="214"/>
      <c r="T187" s="214"/>
      <c r="U187" s="214"/>
    </row>
    <row r="188" spans="2:21" ht="16.5" customHeight="1" x14ac:dyDescent="0.25">
      <c r="B188" s="282" t="s">
        <v>234</v>
      </c>
      <c r="C188" s="486" t="s">
        <v>311</v>
      </c>
      <c r="D188" s="486"/>
      <c r="E188" s="224">
        <f t="shared" ref="E188:J188" si="54">E154</f>
        <v>47.965983208000004</v>
      </c>
      <c r="F188" s="224">
        <f t="shared" si="54"/>
        <v>47.965983208000004</v>
      </c>
      <c r="G188" s="224">
        <f t="shared" si="54"/>
        <v>63.153052754622294</v>
      </c>
      <c r="H188" s="224">
        <f t="shared" si="54"/>
        <v>66.414438288000014</v>
      </c>
      <c r="I188" s="224" t="e">
        <f t="shared" si="54"/>
        <v>#VALUE!</v>
      </c>
      <c r="J188" s="224" t="e">
        <f t="shared" si="54"/>
        <v>#VALUE!</v>
      </c>
      <c r="L188" s="242"/>
      <c r="P188" s="214"/>
      <c r="Q188" s="214"/>
      <c r="R188" s="214"/>
      <c r="S188" s="214"/>
      <c r="T188" s="214"/>
      <c r="U188" s="214"/>
    </row>
    <row r="189" spans="2:21" ht="16.5" customHeight="1" x14ac:dyDescent="0.25">
      <c r="B189" s="282" t="s">
        <v>267</v>
      </c>
      <c r="C189" s="486" t="s">
        <v>329</v>
      </c>
      <c r="D189" s="486"/>
      <c r="E189" s="224">
        <f t="shared" ref="E189:J189" si="55">E162</f>
        <v>148.63088642771629</v>
      </c>
      <c r="F189" s="224">
        <f t="shared" si="55"/>
        <v>85.301810349844004</v>
      </c>
      <c r="G189" s="224">
        <f t="shared" si="55"/>
        <v>105.30514706722319</v>
      </c>
      <c r="H189" s="224">
        <f t="shared" si="55"/>
        <v>186.92110313581227</v>
      </c>
      <c r="I189" s="224" t="e">
        <f t="shared" si="55"/>
        <v>#VALUE!</v>
      </c>
      <c r="J189" s="224" t="e">
        <f t="shared" si="55"/>
        <v>#VALUE!</v>
      </c>
      <c r="L189" s="242"/>
      <c r="P189" s="214"/>
      <c r="Q189" s="214"/>
      <c r="R189" s="214"/>
      <c r="S189" s="214"/>
      <c r="T189" s="214"/>
      <c r="U189" s="214"/>
    </row>
    <row r="190" spans="2:21" ht="16.5" customHeight="1" x14ac:dyDescent="0.25">
      <c r="B190" s="483" t="s">
        <v>344</v>
      </c>
      <c r="C190" s="483"/>
      <c r="D190" s="483"/>
      <c r="E190" s="284">
        <f t="shared" ref="E190:J190" si="56">SUM(E185:E189)</f>
        <v>3051.5778869690498</v>
      </c>
      <c r="F190" s="284">
        <f t="shared" si="56"/>
        <v>2882.082477557844</v>
      </c>
      <c r="G190" s="284">
        <f t="shared" si="56"/>
        <v>3557.9329197630655</v>
      </c>
      <c r="H190" s="284">
        <f t="shared" si="56"/>
        <v>3837.7238987571454</v>
      </c>
      <c r="I190" s="284" t="e">
        <f t="shared" si="56"/>
        <v>#VALUE!</v>
      </c>
      <c r="J190" s="284" t="e">
        <f t="shared" si="56"/>
        <v>#VALUE!</v>
      </c>
      <c r="L190" s="242"/>
      <c r="P190" s="214"/>
      <c r="Q190" s="214"/>
      <c r="R190" s="214"/>
      <c r="S190" s="214"/>
      <c r="T190" s="214"/>
      <c r="U190" s="214"/>
    </row>
    <row r="191" spans="2:21" ht="16.5" customHeight="1" x14ac:dyDescent="0.25">
      <c r="B191" s="282" t="s">
        <v>269</v>
      </c>
      <c r="C191" s="486" t="s">
        <v>345</v>
      </c>
      <c r="D191" s="486"/>
      <c r="E191" s="224">
        <f t="shared" ref="E191:J191" si="57">E178</f>
        <v>729.81984376319224</v>
      </c>
      <c r="F191" s="224">
        <f t="shared" si="57"/>
        <v>689.28307301803216</v>
      </c>
      <c r="G191" s="224">
        <f t="shared" si="57"/>
        <v>850.92045617111762</v>
      </c>
      <c r="H191" s="224">
        <f t="shared" si="57"/>
        <v>917.83567712870126</v>
      </c>
      <c r="I191" s="224" t="e">
        <f t="shared" si="57"/>
        <v>#VALUE!</v>
      </c>
      <c r="J191" s="224" t="e">
        <f t="shared" si="57"/>
        <v>#VALUE!</v>
      </c>
      <c r="L191" s="242"/>
      <c r="P191" s="214"/>
      <c r="Q191" s="214"/>
      <c r="R191" s="214"/>
      <c r="S191" s="214"/>
      <c r="T191" s="214"/>
      <c r="U191" s="214"/>
    </row>
    <row r="192" spans="2:21" ht="23.25" customHeight="1" x14ac:dyDescent="0.25">
      <c r="B192" s="483" t="s">
        <v>347</v>
      </c>
      <c r="C192" s="483"/>
      <c r="D192" s="483"/>
      <c r="E192" s="284">
        <f t="shared" ref="E192:J192" si="58">E191+E190</f>
        <v>3781.3977307322421</v>
      </c>
      <c r="F192" s="284">
        <f t="shared" si="58"/>
        <v>3571.3655505758761</v>
      </c>
      <c r="G192" s="284">
        <f t="shared" si="58"/>
        <v>4408.8533759341826</v>
      </c>
      <c r="H192" s="284">
        <f t="shared" si="58"/>
        <v>4755.5595758858472</v>
      </c>
      <c r="I192" s="284" t="e">
        <f t="shared" si="58"/>
        <v>#VALUE!</v>
      </c>
      <c r="J192" s="284" t="e">
        <f t="shared" si="58"/>
        <v>#VALUE!</v>
      </c>
      <c r="L192" s="242"/>
      <c r="P192" s="214"/>
    </row>
    <row r="193" spans="2:20" x14ac:dyDescent="0.25">
      <c r="L193" s="242"/>
    </row>
    <row r="194" spans="2:20" x14ac:dyDescent="0.25">
      <c r="L194" s="242"/>
    </row>
    <row r="195" spans="2:20" x14ac:dyDescent="0.25">
      <c r="B195" s="484" t="s">
        <v>348</v>
      </c>
      <c r="C195" s="484"/>
      <c r="D195" s="484"/>
      <c r="E195" s="484"/>
      <c r="F195" s="484"/>
      <c r="G195" s="484"/>
      <c r="H195" s="484"/>
      <c r="I195" s="484"/>
      <c r="J195" s="484"/>
      <c r="M195" s="242"/>
      <c r="P195" s="214"/>
    </row>
    <row r="196" spans="2:20" x14ac:dyDescent="0.25">
      <c r="B196" s="213"/>
      <c r="M196" s="242"/>
      <c r="P196" s="214"/>
    </row>
    <row r="197" spans="2:20" ht="63" x14ac:dyDescent="0.25">
      <c r="B197" s="227"/>
      <c r="C197" s="227" t="s">
        <v>349</v>
      </c>
      <c r="D197" s="221" t="s">
        <v>350</v>
      </c>
      <c r="E197" s="221" t="s">
        <v>351</v>
      </c>
      <c r="F197" s="221" t="s">
        <v>352</v>
      </c>
      <c r="G197" s="221" t="s">
        <v>353</v>
      </c>
      <c r="H197" s="221" t="s">
        <v>354</v>
      </c>
      <c r="I197" s="213"/>
      <c r="N197" s="242"/>
      <c r="P197" s="214"/>
      <c r="Q197" s="214"/>
      <c r="R197" s="214"/>
      <c r="S197" s="214"/>
      <c r="T197" s="214"/>
    </row>
    <row r="198" spans="2:20" ht="30" customHeight="1" x14ac:dyDescent="0.25">
      <c r="B198" s="286">
        <v>1</v>
      </c>
      <c r="C198" s="287" t="str">
        <f>E183</f>
        <v>Vigilante 44h semanais</v>
      </c>
      <c r="D198" s="288">
        <f>E192</f>
        <v>3781.3977307322421</v>
      </c>
      <c r="E198" s="225">
        <v>1</v>
      </c>
      <c r="F198" s="289">
        <f t="shared" ref="F198:F203" si="59">D198*E198</f>
        <v>3781.3977307322421</v>
      </c>
      <c r="G198" s="225">
        <f t="shared" ref="G198:G203" si="60">E19</f>
        <v>99</v>
      </c>
      <c r="H198" s="290">
        <f t="shared" ref="H198:H203" si="61">F198*G198</f>
        <v>374358.37534249196</v>
      </c>
      <c r="I198" s="213"/>
      <c r="N198" s="242"/>
      <c r="P198" s="214"/>
      <c r="Q198" s="214"/>
      <c r="R198" s="214"/>
      <c r="S198" s="214"/>
      <c r="T198" s="214"/>
    </row>
    <row r="199" spans="2:20" ht="30" customHeight="1" x14ac:dyDescent="0.25">
      <c r="B199" s="286">
        <v>2</v>
      </c>
      <c r="C199" s="287" t="str">
        <f>F183</f>
        <v>Vigilante 12x36 D</v>
      </c>
      <c r="D199" s="288">
        <f>F192</f>
        <v>3571.3655505758761</v>
      </c>
      <c r="E199" s="225">
        <v>2</v>
      </c>
      <c r="F199" s="289">
        <f t="shared" si="59"/>
        <v>7142.7311011517522</v>
      </c>
      <c r="G199" s="225">
        <f t="shared" si="60"/>
        <v>5</v>
      </c>
      <c r="H199" s="290">
        <f t="shared" si="61"/>
        <v>35713.655505758761</v>
      </c>
      <c r="I199" s="213"/>
      <c r="N199" s="242"/>
      <c r="P199" s="214"/>
      <c r="Q199" s="214"/>
      <c r="R199" s="214"/>
      <c r="S199" s="214"/>
      <c r="T199" s="214"/>
    </row>
    <row r="200" spans="2:20" ht="30" customHeight="1" x14ac:dyDescent="0.25">
      <c r="B200" s="286">
        <v>3</v>
      </c>
      <c r="C200" s="287" t="str">
        <f>G183</f>
        <v>Vigilante 12x36 N</v>
      </c>
      <c r="D200" s="288">
        <f>G192</f>
        <v>4408.8533759341826</v>
      </c>
      <c r="E200" s="225">
        <v>2</v>
      </c>
      <c r="F200" s="289">
        <f t="shared" si="59"/>
        <v>8817.7067518683652</v>
      </c>
      <c r="G200" s="225">
        <f t="shared" si="60"/>
        <v>5</v>
      </c>
      <c r="H200" s="290">
        <f t="shared" si="61"/>
        <v>44088.533759341823</v>
      </c>
      <c r="I200" s="213"/>
      <c r="N200" s="242"/>
      <c r="P200" s="214"/>
      <c r="Q200" s="214"/>
      <c r="R200" s="214"/>
      <c r="S200" s="214"/>
      <c r="T200" s="214"/>
    </row>
    <row r="201" spans="2:20" ht="30" customHeight="1" x14ac:dyDescent="0.25">
      <c r="B201" s="286">
        <v>4</v>
      </c>
      <c r="C201" s="287" t="str">
        <f>H183</f>
        <v>Supervisor 44h semanais</v>
      </c>
      <c r="D201" s="288">
        <f>H192</f>
        <v>4755.5595758858472</v>
      </c>
      <c r="E201" s="225">
        <v>1</v>
      </c>
      <c r="F201" s="289">
        <f t="shared" si="59"/>
        <v>4755.5595758858472</v>
      </c>
      <c r="G201" s="225">
        <f t="shared" si="60"/>
        <v>1</v>
      </c>
      <c r="H201" s="290">
        <f t="shared" si="61"/>
        <v>4755.5595758858472</v>
      </c>
      <c r="I201" s="291"/>
      <c r="N201" s="242"/>
      <c r="P201" s="214"/>
      <c r="Q201" s="214"/>
      <c r="R201" s="214"/>
      <c r="S201" s="214"/>
      <c r="T201" s="214"/>
    </row>
    <row r="202" spans="2:20" ht="30" hidden="1" customHeight="1" x14ac:dyDescent="0.25">
      <c r="B202" s="292"/>
      <c r="C202" s="293" t="str">
        <f>I183</f>
        <v>Supervisor 12x36 D</v>
      </c>
      <c r="D202" s="294" t="e">
        <f>I192</f>
        <v>#VALUE!</v>
      </c>
      <c r="E202" s="295">
        <v>2</v>
      </c>
      <c r="F202" s="296" t="e">
        <f t="shared" si="59"/>
        <v>#VALUE!</v>
      </c>
      <c r="G202" s="295">
        <f t="shared" si="60"/>
        <v>0</v>
      </c>
      <c r="H202" s="297" t="e">
        <f t="shared" si="61"/>
        <v>#VALUE!</v>
      </c>
      <c r="I202" s="298"/>
      <c r="N202" s="242"/>
      <c r="P202" s="214"/>
      <c r="Q202" s="214"/>
      <c r="R202" s="214"/>
      <c r="S202" s="214"/>
      <c r="T202" s="214"/>
    </row>
    <row r="203" spans="2:20" ht="30" hidden="1" customHeight="1" x14ac:dyDescent="0.25">
      <c r="B203" s="292"/>
      <c r="C203" s="293" t="str">
        <f>J183</f>
        <v>Supervisor 12x36 N</v>
      </c>
      <c r="D203" s="294" t="e">
        <f>J192</f>
        <v>#VALUE!</v>
      </c>
      <c r="E203" s="295">
        <v>2</v>
      </c>
      <c r="F203" s="296" t="e">
        <f t="shared" si="59"/>
        <v>#VALUE!</v>
      </c>
      <c r="G203" s="295">
        <f t="shared" si="60"/>
        <v>0</v>
      </c>
      <c r="H203" s="297" t="e">
        <f t="shared" si="61"/>
        <v>#VALUE!</v>
      </c>
      <c r="I203" s="298"/>
      <c r="N203" s="242"/>
      <c r="P203" s="214"/>
      <c r="Q203" s="214"/>
      <c r="R203" s="214"/>
      <c r="S203" s="214"/>
      <c r="T203" s="214"/>
    </row>
    <row r="204" spans="2:20" ht="27" customHeight="1" x14ac:dyDescent="0.25">
      <c r="B204" s="213"/>
      <c r="C204" s="299" t="s">
        <v>44</v>
      </c>
      <c r="D204" s="300"/>
      <c r="E204" s="300"/>
      <c r="F204" s="300"/>
      <c r="G204" s="301"/>
      <c r="H204" s="302">
        <f>SUM(H198:H201)</f>
        <v>458916.12418347836</v>
      </c>
      <c r="I204" s="213"/>
      <c r="J204" s="303"/>
      <c r="N204" s="242"/>
      <c r="P204" s="214"/>
      <c r="Q204" s="214"/>
      <c r="R204" s="214"/>
      <c r="S204" s="214"/>
      <c r="T204" s="214"/>
    </row>
    <row r="205" spans="2:20" x14ac:dyDescent="0.25">
      <c r="L205" s="242"/>
    </row>
    <row r="206" spans="2:20" x14ac:dyDescent="0.25">
      <c r="L206" s="242"/>
    </row>
    <row r="207" spans="2:20" x14ac:dyDescent="0.25">
      <c r="L207" s="242"/>
    </row>
    <row r="208" spans="2:20" x14ac:dyDescent="0.25">
      <c r="B208" s="484" t="s">
        <v>355</v>
      </c>
      <c r="C208" s="484"/>
      <c r="D208" s="484"/>
      <c r="E208" s="484"/>
      <c r="F208" s="484"/>
      <c r="G208" s="484"/>
      <c r="H208" s="484"/>
      <c r="I208" s="484"/>
      <c r="J208" s="484"/>
      <c r="L208" s="242"/>
    </row>
    <row r="209" spans="2:16" x14ac:dyDescent="0.25">
      <c r="L209" s="242"/>
    </row>
    <row r="210" spans="2:16" ht="16.5" customHeight="1" x14ac:dyDescent="0.25">
      <c r="B210" s="483" t="s">
        <v>356</v>
      </c>
      <c r="C210" s="483"/>
      <c r="D210" s="483"/>
      <c r="E210" s="483"/>
      <c r="F210" s="483"/>
      <c r="L210" s="242"/>
      <c r="P210" s="214"/>
    </row>
    <row r="211" spans="2:16" ht="26.25" customHeight="1" x14ac:dyDescent="0.25">
      <c r="B211" s="227" t="s">
        <v>229</v>
      </c>
      <c r="C211" s="304" t="s">
        <v>357</v>
      </c>
      <c r="D211" s="305"/>
      <c r="E211" s="497">
        <f>H204</f>
        <v>458916.12418347836</v>
      </c>
      <c r="F211" s="497"/>
      <c r="H211" s="306"/>
      <c r="L211" s="242"/>
      <c r="P211" s="214"/>
    </row>
    <row r="212" spans="2:16" ht="45.75" customHeight="1" x14ac:dyDescent="0.25">
      <c r="B212" s="227" t="s">
        <v>232</v>
      </c>
      <c r="C212" s="498" t="s">
        <v>358</v>
      </c>
      <c r="D212" s="498"/>
      <c r="E212" s="499">
        <f>E211*D14</f>
        <v>5506993.4902017405</v>
      </c>
      <c r="F212" s="499"/>
      <c r="H212" s="307"/>
      <c r="L212" s="242"/>
      <c r="P212" s="214"/>
    </row>
    <row r="213" spans="2:16" ht="56.25" customHeight="1" x14ac:dyDescent="0.25">
      <c r="L213" s="242"/>
    </row>
    <row r="214" spans="2:16" x14ac:dyDescent="0.25">
      <c r="B214" s="308" t="s">
        <v>359</v>
      </c>
      <c r="L214" s="242"/>
    </row>
    <row r="215" spans="2:16" x14ac:dyDescent="0.25">
      <c r="B215" s="308" t="s">
        <v>360</v>
      </c>
    </row>
    <row r="216" spans="2:16" x14ac:dyDescent="0.25">
      <c r="B216" s="256" t="s">
        <v>361</v>
      </c>
    </row>
    <row r="217" spans="2:16" x14ac:dyDescent="0.25">
      <c r="B217" s="256" t="s">
        <v>362</v>
      </c>
    </row>
    <row r="218" spans="2:16" x14ac:dyDescent="0.25">
      <c r="B218" s="214" t="s">
        <v>363</v>
      </c>
    </row>
  </sheetData>
  <mergeCells count="96">
    <mergeCell ref="B195:J195"/>
    <mergeCell ref="B208:J208"/>
    <mergeCell ref="B210:F210"/>
    <mergeCell ref="E211:F211"/>
    <mergeCell ref="C212:D212"/>
    <mergeCell ref="E212:F212"/>
    <mergeCell ref="C188:D188"/>
    <mergeCell ref="C189:D189"/>
    <mergeCell ref="B190:D190"/>
    <mergeCell ref="C191:D191"/>
    <mergeCell ref="B192:D192"/>
    <mergeCell ref="B181:J181"/>
    <mergeCell ref="C184:D184"/>
    <mergeCell ref="C185:D185"/>
    <mergeCell ref="C186:D186"/>
    <mergeCell ref="C187:D187"/>
    <mergeCell ref="C160:D160"/>
    <mergeCell ref="C161:D161"/>
    <mergeCell ref="B162:D162"/>
    <mergeCell ref="B166:J166"/>
    <mergeCell ref="B178:C178"/>
    <mergeCell ref="C151:D151"/>
    <mergeCell ref="C152:D152"/>
    <mergeCell ref="C153:D153"/>
    <mergeCell ref="B154:D154"/>
    <mergeCell ref="B157:J157"/>
    <mergeCell ref="B140:J140"/>
    <mergeCell ref="C143:D143"/>
    <mergeCell ref="C144:D144"/>
    <mergeCell ref="B145:D145"/>
    <mergeCell ref="B148:J148"/>
    <mergeCell ref="C121:D121"/>
    <mergeCell ref="C123:D123"/>
    <mergeCell ref="C124:D124"/>
    <mergeCell ref="C136:D136"/>
    <mergeCell ref="B137:D137"/>
    <mergeCell ref="C113:D113"/>
    <mergeCell ref="C114:D114"/>
    <mergeCell ref="B115:D115"/>
    <mergeCell ref="B118:J118"/>
    <mergeCell ref="B120:J120"/>
    <mergeCell ref="C108:D108"/>
    <mergeCell ref="C109:D109"/>
    <mergeCell ref="C110:D110"/>
    <mergeCell ref="C111:D111"/>
    <mergeCell ref="C112:D112"/>
    <mergeCell ref="C99:D99"/>
    <mergeCell ref="C100:D100"/>
    <mergeCell ref="C101:D101"/>
    <mergeCell ref="B102:D102"/>
    <mergeCell ref="B105:J105"/>
    <mergeCell ref="C90:D90"/>
    <mergeCell ref="C91:D91"/>
    <mergeCell ref="B92:D92"/>
    <mergeCell ref="B95:J95"/>
    <mergeCell ref="C98:D98"/>
    <mergeCell ref="C85:D85"/>
    <mergeCell ref="C86:D86"/>
    <mergeCell ref="C87:D87"/>
    <mergeCell ref="C88:D88"/>
    <mergeCell ref="C89:D89"/>
    <mergeCell ref="B65:J65"/>
    <mergeCell ref="B77:C77"/>
    <mergeCell ref="B80:J80"/>
    <mergeCell ref="C83:D83"/>
    <mergeCell ref="C84:D84"/>
    <mergeCell ref="B56:J56"/>
    <mergeCell ref="C59:D59"/>
    <mergeCell ref="C60:D60"/>
    <mergeCell ref="C61:D61"/>
    <mergeCell ref="B62:D62"/>
    <mergeCell ref="C48:D48"/>
    <mergeCell ref="C49:D49"/>
    <mergeCell ref="C50:D50"/>
    <mergeCell ref="B51:D51"/>
    <mergeCell ref="B54:J54"/>
    <mergeCell ref="C43:D43"/>
    <mergeCell ref="C44:D44"/>
    <mergeCell ref="C45:D45"/>
    <mergeCell ref="C46:D46"/>
    <mergeCell ref="C47:D47"/>
    <mergeCell ref="C35:D35"/>
    <mergeCell ref="C36:D36"/>
    <mergeCell ref="C37:D37"/>
    <mergeCell ref="C38:D38"/>
    <mergeCell ref="B40:J40"/>
    <mergeCell ref="B27:J27"/>
    <mergeCell ref="B31:J31"/>
    <mergeCell ref="C32:D32"/>
    <mergeCell ref="C33:D33"/>
    <mergeCell ref="C34:D34"/>
    <mergeCell ref="A5:J5"/>
    <mergeCell ref="B6:J6"/>
    <mergeCell ref="B9:D9"/>
    <mergeCell ref="B16:D16"/>
    <mergeCell ref="B18:C18"/>
  </mergeCells>
  <printOptions horizontalCentered="1"/>
  <pageMargins left="0.25" right="0.25" top="0.75" bottom="0.75" header="0.3" footer="0.3"/>
  <pageSetup paperSize="9" scale="65" firstPageNumber="0" orientation="landscape" horizontalDpi="300" verticalDpi="300"/>
  <headerFooter>
    <oddHeader>&amp;C&amp;A</oddHeader>
    <oddFooter>&amp;L&amp;Z&amp;F&amp;R&amp;P / &amp;N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154"/>
  <sheetViews>
    <sheetView showGridLines="0" topLeftCell="A34" zoomScale="60" zoomScaleNormal="60" workbookViewId="0">
      <selection activeCell="C84" sqref="C84"/>
    </sheetView>
  </sheetViews>
  <sheetFormatPr defaultColWidth="9.140625" defaultRowHeight="15.75" x14ac:dyDescent="0.25"/>
  <cols>
    <col min="1" max="1" width="9.140625" style="213"/>
    <col min="2" max="2" width="72.140625" style="213" customWidth="1"/>
    <col min="3" max="3" width="18" style="213" customWidth="1"/>
    <col min="4" max="4" width="14.28515625" style="213" customWidth="1"/>
    <col min="5" max="5" width="12.7109375" style="213" customWidth="1"/>
    <col min="6" max="6" width="12" style="213" customWidth="1"/>
    <col min="7" max="7" width="15.140625" style="213" customWidth="1"/>
    <col min="8" max="1024" width="9.140625" style="213"/>
  </cols>
  <sheetData>
    <row r="1" spans="1:4" ht="18" x14ac:dyDescent="0.25">
      <c r="A1" s="215" t="s">
        <v>441</v>
      </c>
    </row>
    <row r="2" spans="1:4" x14ac:dyDescent="0.25">
      <c r="A2" s="216" t="s">
        <v>223</v>
      </c>
    </row>
    <row r="3" spans="1:4" x14ac:dyDescent="0.25">
      <c r="A3" s="216" t="s">
        <v>445</v>
      </c>
    </row>
    <row r="4" spans="1:4" x14ac:dyDescent="0.25">
      <c r="A4" s="217" t="s">
        <v>446</v>
      </c>
    </row>
    <row r="6" spans="1:4" ht="23.25" x14ac:dyDescent="0.35">
      <c r="A6" s="510" t="s">
        <v>447</v>
      </c>
      <c r="B6" s="510"/>
      <c r="C6" s="510"/>
      <c r="D6" s="510"/>
    </row>
    <row r="7" spans="1:4" ht="23.25" x14ac:dyDescent="0.35">
      <c r="A7" s="510"/>
      <c r="B7" s="510"/>
      <c r="C7" s="510"/>
      <c r="D7" s="510"/>
    </row>
    <row r="8" spans="1:4" x14ac:dyDescent="0.25">
      <c r="A8" s="511"/>
      <c r="B8" s="511"/>
      <c r="C8" s="511"/>
      <c r="D8" s="511"/>
    </row>
    <row r="23" spans="1:3" x14ac:dyDescent="0.25">
      <c r="A23" s="512" t="s">
        <v>261</v>
      </c>
      <c r="B23" s="512"/>
      <c r="C23" s="512"/>
    </row>
    <row r="25" spans="1:3" x14ac:dyDescent="0.25">
      <c r="A25" s="456">
        <v>1</v>
      </c>
      <c r="B25" s="457" t="s">
        <v>262</v>
      </c>
      <c r="C25" s="457" t="s">
        <v>263</v>
      </c>
    </row>
    <row r="26" spans="1:3" x14ac:dyDescent="0.25">
      <c r="A26" s="458" t="s">
        <v>227</v>
      </c>
      <c r="B26" s="459" t="s">
        <v>264</v>
      </c>
      <c r="C26" s="460">
        <v>1657.89</v>
      </c>
    </row>
    <row r="27" spans="1:3" x14ac:dyDescent="0.25">
      <c r="A27" s="458" t="s">
        <v>229</v>
      </c>
      <c r="B27" s="459" t="s">
        <v>265</v>
      </c>
      <c r="C27" s="460"/>
    </row>
    <row r="28" spans="1:3" x14ac:dyDescent="0.25">
      <c r="A28" s="458" t="s">
        <v>232</v>
      </c>
      <c r="B28" s="459" t="s">
        <v>266</v>
      </c>
      <c r="C28" s="460"/>
    </row>
    <row r="29" spans="1:3" x14ac:dyDescent="0.25">
      <c r="A29" s="458" t="s">
        <v>234</v>
      </c>
      <c r="B29" s="459" t="s">
        <v>34</v>
      </c>
      <c r="C29" s="460"/>
    </row>
    <row r="30" spans="1:3" x14ac:dyDescent="0.25">
      <c r="A30" s="458" t="s">
        <v>267</v>
      </c>
      <c r="B30" s="459" t="s">
        <v>268</v>
      </c>
      <c r="C30" s="460"/>
    </row>
    <row r="31" spans="1:3" x14ac:dyDescent="0.25">
      <c r="A31" s="458"/>
      <c r="B31" s="459"/>
      <c r="C31" s="460"/>
    </row>
    <row r="32" spans="1:3" x14ac:dyDescent="0.25">
      <c r="A32" s="458" t="s">
        <v>270</v>
      </c>
      <c r="B32" s="459" t="s">
        <v>271</v>
      </c>
      <c r="C32" s="460"/>
    </row>
    <row r="33" spans="1:5" ht="16.5" customHeight="1" x14ac:dyDescent="0.25">
      <c r="A33" s="513" t="s">
        <v>44</v>
      </c>
      <c r="B33" s="513"/>
      <c r="C33" s="461">
        <f>SUM(C26:C32)</f>
        <v>1657.89</v>
      </c>
    </row>
    <row r="36" spans="1:5" x14ac:dyDescent="0.25">
      <c r="A36" s="512" t="s">
        <v>272</v>
      </c>
      <c r="B36" s="512"/>
      <c r="C36" s="512"/>
    </row>
    <row r="37" spans="1:5" x14ac:dyDescent="0.25">
      <c r="A37" s="462"/>
    </row>
    <row r="38" spans="1:5" x14ac:dyDescent="0.25">
      <c r="A38" s="514" t="s">
        <v>273</v>
      </c>
      <c r="B38" s="514"/>
      <c r="C38" s="514"/>
    </row>
    <row r="40" spans="1:5" x14ac:dyDescent="0.25">
      <c r="A40" s="456" t="s">
        <v>274</v>
      </c>
      <c r="B40" s="457" t="s">
        <v>275</v>
      </c>
      <c r="C40" s="457" t="s">
        <v>263</v>
      </c>
    </row>
    <row r="41" spans="1:5" x14ac:dyDescent="0.25">
      <c r="A41" s="458" t="s">
        <v>227</v>
      </c>
      <c r="B41" s="459" t="s">
        <v>276</v>
      </c>
      <c r="C41" s="460">
        <f>(1/12)*C33</f>
        <v>138.1575</v>
      </c>
      <c r="D41" s="213" t="str">
        <f>D74</f>
        <v>VER "NOTA 3" relativo a este submodulo na IN 5-2017</v>
      </c>
    </row>
    <row r="42" spans="1:5" x14ac:dyDescent="0.25">
      <c r="A42" s="458" t="s">
        <v>229</v>
      </c>
      <c r="B42" s="459" t="s">
        <v>277</v>
      </c>
      <c r="C42" s="460">
        <f>((1/12)+((1/3)/12))*C33</f>
        <v>184.21</v>
      </c>
      <c r="E42" s="463"/>
    </row>
    <row r="43" spans="1:5" ht="16.5" customHeight="1" x14ac:dyDescent="0.25">
      <c r="A43" s="513" t="s">
        <v>44</v>
      </c>
      <c r="B43" s="513"/>
      <c r="C43" s="464">
        <f>SUM(C41:C42)</f>
        <v>322.36750000000001</v>
      </c>
    </row>
    <row r="46" spans="1:5" ht="32.25" customHeight="1" x14ac:dyDescent="0.25">
      <c r="A46" s="515" t="s">
        <v>278</v>
      </c>
      <c r="B46" s="515"/>
      <c r="C46" s="515"/>
      <c r="D46" s="515"/>
    </row>
    <row r="48" spans="1:5" x14ac:dyDescent="0.25">
      <c r="A48" s="456" t="s">
        <v>279</v>
      </c>
      <c r="B48" s="457" t="s">
        <v>280</v>
      </c>
      <c r="C48" s="457" t="s">
        <v>281</v>
      </c>
      <c r="D48" s="457" t="s">
        <v>263</v>
      </c>
    </row>
    <row r="49" spans="1:4" x14ac:dyDescent="0.25">
      <c r="A49" s="458" t="s">
        <v>227</v>
      </c>
      <c r="B49" s="459" t="s">
        <v>282</v>
      </c>
      <c r="C49" s="465">
        <v>0.2</v>
      </c>
      <c r="D49" s="460">
        <f t="shared" ref="D49:D56" si="0">($C$43+$C$33)*C49</f>
        <v>396.05150000000003</v>
      </c>
    </row>
    <row r="50" spans="1:4" x14ac:dyDescent="0.25">
      <c r="A50" s="458" t="s">
        <v>229</v>
      </c>
      <c r="B50" s="459" t="s">
        <v>283</v>
      </c>
      <c r="C50" s="465">
        <v>2.5000000000000001E-2</v>
      </c>
      <c r="D50" s="460">
        <f t="shared" si="0"/>
        <v>49.506437500000004</v>
      </c>
    </row>
    <row r="51" spans="1:4" x14ac:dyDescent="0.25">
      <c r="A51" s="458" t="s">
        <v>232</v>
      </c>
      <c r="B51" s="459" t="s">
        <v>284</v>
      </c>
      <c r="C51" s="465">
        <v>0.01</v>
      </c>
      <c r="D51" s="460">
        <f t="shared" si="0"/>
        <v>19.802575000000001</v>
      </c>
    </row>
    <row r="52" spans="1:4" x14ac:dyDescent="0.25">
      <c r="A52" s="458" t="s">
        <v>234</v>
      </c>
      <c r="B52" s="459" t="s">
        <v>285</v>
      </c>
      <c r="C52" s="465">
        <v>1.4999999999999999E-2</v>
      </c>
      <c r="D52" s="460">
        <f t="shared" si="0"/>
        <v>29.7038625</v>
      </c>
    </row>
    <row r="53" spans="1:4" x14ac:dyDescent="0.25">
      <c r="A53" s="458" t="s">
        <v>267</v>
      </c>
      <c r="B53" s="459" t="s">
        <v>286</v>
      </c>
      <c r="C53" s="465">
        <v>0.01</v>
      </c>
      <c r="D53" s="460">
        <f t="shared" si="0"/>
        <v>19.802575000000001</v>
      </c>
    </row>
    <row r="54" spans="1:4" x14ac:dyDescent="0.25">
      <c r="A54" s="458" t="s">
        <v>269</v>
      </c>
      <c r="B54" s="459" t="s">
        <v>64</v>
      </c>
      <c r="C54" s="465">
        <v>6.0000000000000001E-3</v>
      </c>
      <c r="D54" s="460">
        <f t="shared" si="0"/>
        <v>11.881545000000001</v>
      </c>
    </row>
    <row r="55" spans="1:4" x14ac:dyDescent="0.25">
      <c r="A55" s="458" t="s">
        <v>270</v>
      </c>
      <c r="B55" s="459" t="s">
        <v>65</v>
      </c>
      <c r="C55" s="465">
        <v>2E-3</v>
      </c>
      <c r="D55" s="460">
        <f t="shared" si="0"/>
        <v>3.9605150000000005</v>
      </c>
    </row>
    <row r="56" spans="1:4" x14ac:dyDescent="0.25">
      <c r="A56" s="458" t="s">
        <v>287</v>
      </c>
      <c r="B56" s="459" t="s">
        <v>66</v>
      </c>
      <c r="C56" s="465">
        <v>0.08</v>
      </c>
      <c r="D56" s="460">
        <f t="shared" si="0"/>
        <v>158.42060000000001</v>
      </c>
    </row>
    <row r="57" spans="1:4" ht="16.5" customHeight="1" x14ac:dyDescent="0.25">
      <c r="A57" s="513" t="s">
        <v>288</v>
      </c>
      <c r="B57" s="513"/>
      <c r="C57" s="466">
        <f>SUM(C49:C56)</f>
        <v>0.34800000000000003</v>
      </c>
      <c r="D57" s="461">
        <f>SUM(D49:D56)</f>
        <v>689.12961000000007</v>
      </c>
    </row>
    <row r="60" spans="1:4" x14ac:dyDescent="0.25">
      <c r="A60" s="514" t="s">
        <v>289</v>
      </c>
      <c r="B60" s="514"/>
      <c r="C60" s="514"/>
    </row>
    <row r="62" spans="1:4" x14ac:dyDescent="0.25">
      <c r="A62" s="456" t="s">
        <v>290</v>
      </c>
      <c r="B62" s="457" t="s">
        <v>291</v>
      </c>
      <c r="C62" s="457" t="s">
        <v>263</v>
      </c>
    </row>
    <row r="63" spans="1:4" x14ac:dyDescent="0.25">
      <c r="A63" s="458" t="s">
        <v>227</v>
      </c>
      <c r="B63" s="459" t="s">
        <v>292</v>
      </c>
      <c r="C63" s="460">
        <f>(4*2*25.42)-C26*0.06</f>
        <v>103.88660000000002</v>
      </c>
      <c r="D63" s="213" t="s">
        <v>448</v>
      </c>
    </row>
    <row r="64" spans="1:4" x14ac:dyDescent="0.25">
      <c r="A64" s="458" t="s">
        <v>229</v>
      </c>
      <c r="B64" s="459" t="s">
        <v>293</v>
      </c>
      <c r="C64" s="460">
        <f>12.24*22</f>
        <v>269.28000000000003</v>
      </c>
      <c r="D64" s="213" t="s">
        <v>449</v>
      </c>
    </row>
    <row r="65" spans="1:4" x14ac:dyDescent="0.25">
      <c r="A65" s="458" t="s">
        <v>232</v>
      </c>
      <c r="B65" s="459" t="s">
        <v>294</v>
      </c>
      <c r="C65" s="460">
        <v>98.91</v>
      </c>
      <c r="D65" s="213" t="s">
        <v>450</v>
      </c>
    </row>
    <row r="66" spans="1:4" x14ac:dyDescent="0.25">
      <c r="A66" s="458" t="s">
        <v>234</v>
      </c>
      <c r="B66" s="459" t="s">
        <v>295</v>
      </c>
      <c r="C66" s="460">
        <v>8.98</v>
      </c>
      <c r="D66" s="213" t="s">
        <v>451</v>
      </c>
    </row>
    <row r="67" spans="1:4" x14ac:dyDescent="0.25">
      <c r="A67" s="458" t="s">
        <v>267</v>
      </c>
      <c r="B67" s="459" t="s">
        <v>296</v>
      </c>
      <c r="C67" s="460">
        <v>3.22</v>
      </c>
      <c r="D67" s="213" t="s">
        <v>452</v>
      </c>
    </row>
    <row r="68" spans="1:4" ht="16.5" customHeight="1" x14ac:dyDescent="0.25">
      <c r="A68" s="513" t="s">
        <v>44</v>
      </c>
      <c r="B68" s="513"/>
      <c r="C68" s="461">
        <f>SUM(C63:C67)</f>
        <v>484.27660000000003</v>
      </c>
    </row>
    <row r="71" spans="1:4" x14ac:dyDescent="0.25">
      <c r="A71" s="514" t="s">
        <v>301</v>
      </c>
      <c r="B71" s="514"/>
      <c r="C71" s="514"/>
    </row>
    <row r="73" spans="1:4" x14ac:dyDescent="0.25">
      <c r="A73" s="456">
        <v>2</v>
      </c>
      <c r="B73" s="457" t="s">
        <v>302</v>
      </c>
      <c r="C73" s="457" t="s">
        <v>263</v>
      </c>
    </row>
    <row r="74" spans="1:4" x14ac:dyDescent="0.25">
      <c r="A74" s="458" t="s">
        <v>274</v>
      </c>
      <c r="B74" s="459" t="s">
        <v>275</v>
      </c>
      <c r="C74" s="460">
        <f>C43</f>
        <v>322.36750000000001</v>
      </c>
      <c r="D74" s="467" t="s">
        <v>453</v>
      </c>
    </row>
    <row r="75" spans="1:4" x14ac:dyDescent="0.25">
      <c r="A75" s="458" t="s">
        <v>279</v>
      </c>
      <c r="B75" s="459" t="s">
        <v>280</v>
      </c>
      <c r="C75" s="460">
        <f>D57</f>
        <v>689.12961000000007</v>
      </c>
    </row>
    <row r="76" spans="1:4" x14ac:dyDescent="0.25">
      <c r="A76" s="458" t="s">
        <v>290</v>
      </c>
      <c r="B76" s="459" t="s">
        <v>291</v>
      </c>
      <c r="C76" s="460">
        <f>C68</f>
        <v>484.27660000000003</v>
      </c>
    </row>
    <row r="77" spans="1:4" ht="16.5" customHeight="1" x14ac:dyDescent="0.25">
      <c r="A77" s="513" t="s">
        <v>44</v>
      </c>
      <c r="B77" s="513"/>
      <c r="C77" s="464">
        <f>SUM(C74:C76)</f>
        <v>1495.7737099999999</v>
      </c>
    </row>
    <row r="78" spans="1:4" x14ac:dyDescent="0.25">
      <c r="A78" s="468"/>
    </row>
    <row r="80" spans="1:4" x14ac:dyDescent="0.25">
      <c r="A80" s="512" t="s">
        <v>303</v>
      </c>
      <c r="B80" s="512"/>
      <c r="C80" s="512"/>
    </row>
    <row r="82" spans="1:5" x14ac:dyDescent="0.25">
      <c r="A82" s="456">
        <v>3</v>
      </c>
      <c r="B82" s="457" t="s">
        <v>304</v>
      </c>
      <c r="C82" s="457" t="s">
        <v>263</v>
      </c>
    </row>
    <row r="83" spans="1:5" x14ac:dyDescent="0.25">
      <c r="A83" s="458" t="s">
        <v>227</v>
      </c>
      <c r="B83" s="469" t="s">
        <v>305</v>
      </c>
      <c r="C83" s="460">
        <f>(C33/12)*0.05</f>
        <v>6.9078750000000007</v>
      </c>
      <c r="D83" s="467" t="s">
        <v>454</v>
      </c>
      <c r="E83" s="467" t="s">
        <v>455</v>
      </c>
    </row>
    <row r="84" spans="1:5" x14ac:dyDescent="0.25">
      <c r="A84" s="458" t="s">
        <v>229</v>
      </c>
      <c r="B84" s="469" t="s">
        <v>306</v>
      </c>
      <c r="C84" s="460">
        <f>C83*8%</f>
        <v>0.55263000000000007</v>
      </c>
    </row>
    <row r="85" spans="1:5" x14ac:dyDescent="0.25">
      <c r="A85" s="458" t="s">
        <v>232</v>
      </c>
      <c r="B85" s="469" t="s">
        <v>307</v>
      </c>
      <c r="C85" s="470"/>
    </row>
    <row r="86" spans="1:5" x14ac:dyDescent="0.25">
      <c r="A86" s="458" t="s">
        <v>234</v>
      </c>
      <c r="B86" s="469" t="s">
        <v>308</v>
      </c>
      <c r="C86" s="460">
        <f>(((C33/30)/12)*7)*1</f>
        <v>32.236750000000008</v>
      </c>
    </row>
    <row r="87" spans="1:5" ht="30.75" customHeight="1" x14ac:dyDescent="0.25">
      <c r="A87" s="458" t="s">
        <v>267</v>
      </c>
      <c r="B87" s="469" t="s">
        <v>309</v>
      </c>
      <c r="C87" s="470"/>
    </row>
    <row r="88" spans="1:5" x14ac:dyDescent="0.25">
      <c r="A88" s="458" t="s">
        <v>269</v>
      </c>
      <c r="B88" s="469" t="s">
        <v>310</v>
      </c>
      <c r="C88" s="470"/>
    </row>
    <row r="89" spans="1:5" ht="16.5" customHeight="1" x14ac:dyDescent="0.25">
      <c r="A89" s="513" t="s">
        <v>44</v>
      </c>
      <c r="B89" s="513"/>
      <c r="C89" s="471"/>
    </row>
    <row r="92" spans="1:5" x14ac:dyDescent="0.25">
      <c r="A92" s="512" t="s">
        <v>311</v>
      </c>
      <c r="B92" s="512"/>
      <c r="C92" s="512"/>
    </row>
    <row r="95" spans="1:5" x14ac:dyDescent="0.25">
      <c r="A95" s="514" t="s">
        <v>313</v>
      </c>
      <c r="B95" s="514"/>
      <c r="C95" s="514"/>
    </row>
    <row r="96" spans="1:5" x14ac:dyDescent="0.25">
      <c r="A96" s="462"/>
    </row>
    <row r="97" spans="1:7" x14ac:dyDescent="0.25">
      <c r="A97" s="456" t="s">
        <v>314</v>
      </c>
      <c r="B97" s="457" t="s">
        <v>315</v>
      </c>
      <c r="C97" s="457" t="s">
        <v>263</v>
      </c>
    </row>
    <row r="98" spans="1:7" x14ac:dyDescent="0.25">
      <c r="A98" s="458" t="s">
        <v>227</v>
      </c>
      <c r="B98" s="459" t="s">
        <v>140</v>
      </c>
      <c r="C98" s="471"/>
      <c r="D98" s="467" t="s">
        <v>456</v>
      </c>
      <c r="E98" s="467"/>
      <c r="F98" s="472" t="s">
        <v>457</v>
      </c>
      <c r="G98" s="467"/>
    </row>
    <row r="99" spans="1:7" x14ac:dyDescent="0.25">
      <c r="A99" s="458" t="s">
        <v>229</v>
      </c>
      <c r="B99" s="459" t="s">
        <v>315</v>
      </c>
      <c r="C99" s="471"/>
    </row>
    <row r="100" spans="1:7" x14ac:dyDescent="0.25">
      <c r="A100" s="458" t="s">
        <v>232</v>
      </c>
      <c r="B100" s="459" t="s">
        <v>458</v>
      </c>
      <c r="C100" s="471"/>
    </row>
    <row r="101" spans="1:7" x14ac:dyDescent="0.25">
      <c r="A101" s="458" t="s">
        <v>234</v>
      </c>
      <c r="B101" s="459" t="s">
        <v>459</v>
      </c>
      <c r="C101" s="471"/>
    </row>
    <row r="102" spans="1:7" x14ac:dyDescent="0.25">
      <c r="A102" s="458" t="s">
        <v>267</v>
      </c>
      <c r="B102" s="459" t="s">
        <v>398</v>
      </c>
      <c r="C102" s="471"/>
    </row>
    <row r="103" spans="1:7" x14ac:dyDescent="0.25">
      <c r="A103" s="458" t="s">
        <v>269</v>
      </c>
      <c r="B103" s="459" t="s">
        <v>271</v>
      </c>
      <c r="C103" s="471"/>
    </row>
    <row r="104" spans="1:7" ht="16.5" customHeight="1" x14ac:dyDescent="0.25">
      <c r="A104" s="513" t="s">
        <v>288</v>
      </c>
      <c r="B104" s="513"/>
      <c r="C104" s="471"/>
    </row>
    <row r="107" spans="1:7" x14ac:dyDescent="0.25">
      <c r="A107" s="514" t="s">
        <v>323</v>
      </c>
      <c r="B107" s="514"/>
      <c r="C107" s="514"/>
    </row>
    <row r="108" spans="1:7" x14ac:dyDescent="0.25">
      <c r="A108" s="462"/>
    </row>
    <row r="109" spans="1:7" x14ac:dyDescent="0.25">
      <c r="A109" s="456" t="s">
        <v>324</v>
      </c>
      <c r="B109" s="457" t="s">
        <v>325</v>
      </c>
      <c r="C109" s="457" t="s">
        <v>263</v>
      </c>
    </row>
    <row r="110" spans="1:7" x14ac:dyDescent="0.25">
      <c r="A110" s="458" t="s">
        <v>227</v>
      </c>
      <c r="B110" s="459" t="s">
        <v>326</v>
      </c>
      <c r="C110" s="471"/>
    </row>
    <row r="111" spans="1:7" ht="16.5" customHeight="1" x14ac:dyDescent="0.25">
      <c r="A111" s="513" t="s">
        <v>44</v>
      </c>
      <c r="B111" s="513"/>
      <c r="C111" s="473"/>
    </row>
    <row r="114" spans="1:3" x14ac:dyDescent="0.25">
      <c r="A114" s="514" t="s">
        <v>327</v>
      </c>
      <c r="B114" s="514"/>
      <c r="C114" s="514"/>
    </row>
    <row r="115" spans="1:3" x14ac:dyDescent="0.25">
      <c r="A115" s="462"/>
    </row>
    <row r="116" spans="1:3" x14ac:dyDescent="0.25">
      <c r="A116" s="456">
        <v>4</v>
      </c>
      <c r="B116" s="457" t="s">
        <v>328</v>
      </c>
      <c r="C116" s="457" t="s">
        <v>263</v>
      </c>
    </row>
    <row r="117" spans="1:3" x14ac:dyDescent="0.25">
      <c r="A117" s="458" t="s">
        <v>314</v>
      </c>
      <c r="B117" s="459" t="s">
        <v>315</v>
      </c>
      <c r="C117" s="471"/>
    </row>
    <row r="118" spans="1:3" x14ac:dyDescent="0.25">
      <c r="A118" s="458" t="s">
        <v>324</v>
      </c>
      <c r="B118" s="459" t="s">
        <v>325</v>
      </c>
      <c r="C118" s="471"/>
    </row>
    <row r="119" spans="1:3" ht="16.5" customHeight="1" x14ac:dyDescent="0.25">
      <c r="A119" s="513" t="s">
        <v>44</v>
      </c>
      <c r="B119" s="513"/>
      <c r="C119" s="471"/>
    </row>
    <row r="122" spans="1:3" x14ac:dyDescent="0.25">
      <c r="A122" s="512" t="s">
        <v>329</v>
      </c>
      <c r="B122" s="512"/>
      <c r="C122" s="512"/>
    </row>
    <row r="124" spans="1:3" x14ac:dyDescent="0.25">
      <c r="A124" s="456">
        <v>5</v>
      </c>
      <c r="B124" s="474" t="s">
        <v>217</v>
      </c>
      <c r="C124" s="457" t="s">
        <v>263</v>
      </c>
    </row>
    <row r="125" spans="1:3" x14ac:dyDescent="0.25">
      <c r="A125" s="458" t="s">
        <v>227</v>
      </c>
      <c r="B125" s="459" t="s">
        <v>400</v>
      </c>
      <c r="C125" s="471"/>
    </row>
    <row r="126" spans="1:3" x14ac:dyDescent="0.25">
      <c r="A126" s="458" t="s">
        <v>229</v>
      </c>
      <c r="B126" s="459" t="s">
        <v>440</v>
      </c>
      <c r="C126" s="471"/>
    </row>
    <row r="127" spans="1:3" x14ac:dyDescent="0.25">
      <c r="A127" s="458" t="s">
        <v>232</v>
      </c>
      <c r="B127" s="459" t="s">
        <v>402</v>
      </c>
      <c r="C127" s="471"/>
    </row>
    <row r="128" spans="1:3" x14ac:dyDescent="0.25">
      <c r="A128" s="458" t="s">
        <v>234</v>
      </c>
      <c r="B128" s="459" t="s">
        <v>271</v>
      </c>
      <c r="C128" s="471"/>
    </row>
    <row r="129" spans="1:4" ht="16.5" customHeight="1" x14ac:dyDescent="0.25">
      <c r="A129" s="513" t="s">
        <v>288</v>
      </c>
      <c r="B129" s="513"/>
      <c r="C129" s="473"/>
    </row>
    <row r="132" spans="1:4" x14ac:dyDescent="0.25">
      <c r="A132" s="512" t="s">
        <v>331</v>
      </c>
      <c r="B132" s="512"/>
      <c r="C132" s="512"/>
    </row>
    <row r="133" spans="1:4" x14ac:dyDescent="0.25">
      <c r="D133" s="467" t="s">
        <v>460</v>
      </c>
    </row>
    <row r="134" spans="1:4" x14ac:dyDescent="0.25">
      <c r="A134" s="456">
        <v>6</v>
      </c>
      <c r="B134" s="474" t="s">
        <v>218</v>
      </c>
      <c r="C134" s="457" t="s">
        <v>281</v>
      </c>
      <c r="D134" s="457" t="s">
        <v>263</v>
      </c>
    </row>
    <row r="135" spans="1:4" x14ac:dyDescent="0.25">
      <c r="A135" s="458" t="s">
        <v>227</v>
      </c>
      <c r="B135" s="459" t="s">
        <v>200</v>
      </c>
      <c r="C135" s="471"/>
      <c r="D135" s="471"/>
    </row>
    <row r="136" spans="1:4" x14ac:dyDescent="0.25">
      <c r="A136" s="458" t="s">
        <v>229</v>
      </c>
      <c r="B136" s="459" t="s">
        <v>202</v>
      </c>
      <c r="C136" s="471"/>
      <c r="D136" s="471"/>
    </row>
    <row r="137" spans="1:4" x14ac:dyDescent="0.25">
      <c r="A137" s="458" t="s">
        <v>232</v>
      </c>
      <c r="B137" s="459" t="s">
        <v>201</v>
      </c>
      <c r="C137" s="471"/>
      <c r="D137" s="471"/>
    </row>
    <row r="138" spans="1:4" x14ac:dyDescent="0.25">
      <c r="A138" s="458"/>
      <c r="B138" s="459" t="s">
        <v>461</v>
      </c>
      <c r="C138" s="471"/>
      <c r="D138" s="471"/>
    </row>
    <row r="139" spans="1:4" x14ac:dyDescent="0.25">
      <c r="A139" s="458"/>
      <c r="B139" s="459" t="s">
        <v>462</v>
      </c>
      <c r="C139" s="471"/>
      <c r="D139" s="471"/>
    </row>
    <row r="140" spans="1:4" x14ac:dyDescent="0.25">
      <c r="A140" s="458"/>
      <c r="B140" s="459" t="s">
        <v>463</v>
      </c>
      <c r="C140" s="471"/>
      <c r="D140" s="471"/>
    </row>
    <row r="141" spans="1:4" ht="16.5" customHeight="1" x14ac:dyDescent="0.25">
      <c r="A141" s="513" t="s">
        <v>288</v>
      </c>
      <c r="B141" s="513"/>
      <c r="C141" s="471"/>
      <c r="D141" s="473"/>
    </row>
    <row r="144" spans="1:4" x14ac:dyDescent="0.25">
      <c r="A144" s="512" t="s">
        <v>337</v>
      </c>
      <c r="B144" s="512"/>
      <c r="C144" s="512"/>
    </row>
    <row r="146" spans="1:3" x14ac:dyDescent="0.25">
      <c r="A146" s="456"/>
      <c r="B146" s="457" t="s">
        <v>338</v>
      </c>
      <c r="C146" s="457" t="s">
        <v>263</v>
      </c>
    </row>
    <row r="147" spans="1:3" x14ac:dyDescent="0.25">
      <c r="A147" s="475" t="s">
        <v>227</v>
      </c>
      <c r="B147" s="459" t="s">
        <v>261</v>
      </c>
      <c r="C147" s="476">
        <f>C33</f>
        <v>1657.89</v>
      </c>
    </row>
    <row r="148" spans="1:3" x14ac:dyDescent="0.25">
      <c r="A148" s="475" t="s">
        <v>229</v>
      </c>
      <c r="B148" s="459" t="s">
        <v>272</v>
      </c>
      <c r="C148" s="476">
        <f>C77</f>
        <v>1495.7737099999999</v>
      </c>
    </row>
    <row r="149" spans="1:3" x14ac:dyDescent="0.25">
      <c r="A149" s="475" t="s">
        <v>232</v>
      </c>
      <c r="B149" s="459" t="s">
        <v>303</v>
      </c>
      <c r="C149" s="459">
        <f>C89</f>
        <v>0</v>
      </c>
    </row>
    <row r="150" spans="1:3" x14ac:dyDescent="0.25">
      <c r="A150" s="475" t="s">
        <v>234</v>
      </c>
      <c r="B150" s="459" t="s">
        <v>311</v>
      </c>
      <c r="C150" s="459">
        <f>C119</f>
        <v>0</v>
      </c>
    </row>
    <row r="151" spans="1:3" x14ac:dyDescent="0.25">
      <c r="A151" s="475" t="s">
        <v>267</v>
      </c>
      <c r="B151" s="459" t="s">
        <v>329</v>
      </c>
      <c r="C151" s="459">
        <f>C129</f>
        <v>0</v>
      </c>
    </row>
    <row r="152" spans="1:3" ht="16.5" customHeight="1" x14ac:dyDescent="0.25">
      <c r="A152" s="513" t="s">
        <v>344</v>
      </c>
      <c r="B152" s="513"/>
      <c r="C152" s="477">
        <f>SUM(C147:C151)</f>
        <v>3153.6637099999998</v>
      </c>
    </row>
    <row r="153" spans="1:3" x14ac:dyDescent="0.25">
      <c r="A153" s="475" t="s">
        <v>269</v>
      </c>
      <c r="B153" s="459" t="s">
        <v>345</v>
      </c>
      <c r="C153" s="459">
        <f>D141</f>
        <v>0</v>
      </c>
    </row>
    <row r="154" spans="1:3" ht="16.5" customHeight="1" x14ac:dyDescent="0.25">
      <c r="A154" s="513" t="s">
        <v>347</v>
      </c>
      <c r="B154" s="513"/>
      <c r="C154" s="476">
        <f>C153+C152</f>
        <v>3153.6637099999998</v>
      </c>
    </row>
  </sheetData>
  <mergeCells count="30">
    <mergeCell ref="A132:C132"/>
    <mergeCell ref="A141:B141"/>
    <mergeCell ref="A144:C144"/>
    <mergeCell ref="A152:B152"/>
    <mergeCell ref="A154:B154"/>
    <mergeCell ref="A111:B111"/>
    <mergeCell ref="A114:C114"/>
    <mergeCell ref="A119:B119"/>
    <mergeCell ref="A122:C122"/>
    <mergeCell ref="A129:B129"/>
    <mergeCell ref="A89:B89"/>
    <mergeCell ref="A92:C92"/>
    <mergeCell ref="A95:C95"/>
    <mergeCell ref="A104:B104"/>
    <mergeCell ref="A107:C107"/>
    <mergeCell ref="A60:C60"/>
    <mergeCell ref="A68:B68"/>
    <mergeCell ref="A71:C71"/>
    <mergeCell ref="A77:B77"/>
    <mergeCell ref="A80:C80"/>
    <mergeCell ref="A36:C36"/>
    <mergeCell ref="A38:C38"/>
    <mergeCell ref="A43:B43"/>
    <mergeCell ref="A46:D46"/>
    <mergeCell ref="A57:B57"/>
    <mergeCell ref="A6:D6"/>
    <mergeCell ref="A7:D7"/>
    <mergeCell ref="A8:D8"/>
    <mergeCell ref="A23:C23"/>
    <mergeCell ref="A33:B33"/>
  </mergeCells>
  <hyperlinks>
    <hyperlink ref="F98" r:id="rId1" location="!topic/nelca/nyN1yQCvkrM" xr:uid="{00000000-0004-0000-0800-000000000000}"/>
  </hyperlinks>
  <pageMargins left="0.51180555555555496" right="0.51180555555555496" top="0.78749999999999998" bottom="0.78749999999999998" header="0.51180555555555496" footer="0.51180555555555496"/>
  <pageSetup paperSize="9" firstPageNumber="0" orientation="portrait" horizontalDpi="300" verticalDpi="300"/>
  <drawing r:id="rId2"/>
  <legacyDrawing r:id="rId3"/>
</worksheet>
</file>

<file path=docProps/app.xml><?xml version="1.0" encoding="utf-8"?>
<Properties xmlns="http://schemas.openxmlformats.org/officeDocument/2006/extended-properties" xmlns:vt="http://schemas.openxmlformats.org/officeDocument/2006/docPropsVTypes">
  <Template/>
  <TotalTime>545</TotalTime>
  <Application>Microsoft Excel</Application>
  <DocSecurity>0</DocSecurity>
  <ScaleCrop>false</ScaleCrop>
  <HeadingPairs>
    <vt:vector size="4" baseType="variant">
      <vt:variant>
        <vt:lpstr>Planilhas</vt:lpstr>
      </vt:variant>
      <vt:variant>
        <vt:i4>9</vt:i4>
      </vt:variant>
      <vt:variant>
        <vt:lpstr>Intervalos Nomeados</vt:lpstr>
      </vt:variant>
      <vt:variant>
        <vt:i4>7</vt:i4>
      </vt:variant>
    </vt:vector>
  </HeadingPairs>
  <TitlesOfParts>
    <vt:vector size="16" baseType="lpstr">
      <vt:lpstr>Custo por trabalhador</vt:lpstr>
      <vt:lpstr>Planilha de Custos - LR</vt:lpstr>
      <vt:lpstr>Planilha - LP - MÉDICOS</vt:lpstr>
      <vt:lpstr>Planilha - LP - ENFERMEIRAS</vt:lpstr>
      <vt:lpstr>Planilha - LP - FATURISTA</vt:lpstr>
      <vt:lpstr>Planilha Custos - Quadro global</vt:lpstr>
      <vt:lpstr>Planilha modelo</vt:lpstr>
      <vt:lpstr>LPres - RASCUNHO</vt:lpstr>
      <vt:lpstr>Memória de Cálculo</vt:lpstr>
      <vt:lpstr>'LPres - RASCUNHO'!Area_de_impressao</vt:lpstr>
      <vt:lpstr>'Planilha - LP - ENFERMEIRAS'!Area_de_impressao</vt:lpstr>
      <vt:lpstr>'Planilha - LP - FATURISTA'!Area_de_impressao</vt:lpstr>
      <vt:lpstr>'Planilha - LP - MÉDICOS'!Area_de_impressao</vt:lpstr>
      <vt:lpstr>'Planilha Custos - Quadro global'!Area_de_impressao</vt:lpstr>
      <vt:lpstr>'Planilha de Custos - LR'!Area_de_impressao</vt:lpstr>
      <vt:lpstr>'Planilha modelo'!Area_de_impressao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Arcangela Silva Casagrande</dc:creator>
  <dc:description/>
  <cp:lastModifiedBy>atbv 32</cp:lastModifiedBy>
  <cp:revision>70</cp:revision>
  <cp:lastPrinted>2020-01-30T19:15:37Z</cp:lastPrinted>
  <dcterms:created xsi:type="dcterms:W3CDTF">2018-01-23T19:35:16Z</dcterms:created>
  <dcterms:modified xsi:type="dcterms:W3CDTF">2020-08-26T14:54:02Z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