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ERAL 2014" sheetId="1" r:id="rId1"/>
    <sheet name="2014 PUBLIC" sheetId="2" r:id="rId2"/>
    <sheet name="Plan5" sheetId="3" r:id="rId3"/>
  </sheets>
  <definedNames/>
  <calcPr fullCalcOnLoad="1"/>
</workbook>
</file>

<file path=xl/sharedStrings.xml><?xml version="1.0" encoding="utf-8"?>
<sst xmlns="http://schemas.openxmlformats.org/spreadsheetml/2006/main" count="848" uniqueCount="585">
  <si>
    <t>ANEXO I</t>
  </si>
  <si>
    <t>INCISO I - DESPESA COM PESSOAL E ENCARGOS</t>
  </si>
  <si>
    <t>a</t>
  </si>
  <si>
    <t>b</t>
  </si>
  <si>
    <t>c</t>
  </si>
  <si>
    <t>d</t>
  </si>
  <si>
    <t>INCISO II - OUTRAS DESPESAS DE CUSTEIO</t>
  </si>
  <si>
    <t>e</t>
  </si>
  <si>
    <t>f</t>
  </si>
  <si>
    <t>g</t>
  </si>
  <si>
    <t>ALUGUEL DE IMÓVEIS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</si>
  <si>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</si>
  <si>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</si>
  <si>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</si>
  <si>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</si>
  <si>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</si>
  <si>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</si>
  <si>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</si>
  <si>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</si>
  <si>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</si>
  <si>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</si>
  <si>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</si>
  <si>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</si>
  <si>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</si>
  <si>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</si>
  <si>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</si>
  <si>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</si>
  <si>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</si>
  <si>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</si>
  <si>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</si>
  <si>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DEMAIS DESPESAS DE CUSTEIO</t>
  </si>
  <si>
    <t>INCISO III - DESPESAS COM INVESTIMENTOS</t>
  </si>
  <si>
    <t>PESSOAL E ENCARGOS</t>
  </si>
  <si>
    <t>CUSTEIO</t>
  </si>
  <si>
    <t>TRIBUNAL REGIONAL DO TRABALHO DA 5ª REGIÃO</t>
  </si>
  <si>
    <t xml:space="preserve">SECRETARIA DE ORÇAMENTO E FINANÇAS </t>
  </si>
  <si>
    <t xml:space="preserve">SERVIÇO DE CONTABILIDADE </t>
  </si>
  <si>
    <r>
      <t>Contador Responsável:</t>
    </r>
    <r>
      <rPr>
        <sz val="8"/>
        <rFont val="Tahoma"/>
        <family val="2"/>
      </rPr>
      <t xml:space="preserve"> Durval Padilha Pinto Neto</t>
    </r>
  </si>
  <si>
    <t>ALINEA</t>
  </si>
  <si>
    <t>DISCRIMINAÇÃO DAS DESPESAS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</si>
  <si>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</si>
  <si>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</si>
  <si>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</si>
  <si>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</si>
  <si>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</si>
  <si>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</si>
  <si>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</si>
  <si>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</si>
  <si>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</si>
  <si>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</si>
  <si>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</si>
  <si>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</si>
  <si>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RESTOS A PAGAR</t>
  </si>
  <si>
    <t>ACUMULADO</t>
  </si>
  <si>
    <t>DESPESAS COM PESSOAL ATIVO</t>
  </si>
  <si>
    <t>DESPESAS COM PESSOAL INATIVO E PENSÕES</t>
  </si>
  <si>
    <t>ENCARGOS SOCIAL INCIDENTES SOBRE REMUNERAÇÃO DE PESSOAL</t>
  </si>
  <si>
    <t>DESPESAS COM SENTENÇAS JUDICIAIS TRANSITADA EM JULGADO(PRECATÓRIOS, REQUISIÇÕES DE PEQUENO VALOR E DÉBITOS JUDICIAIS PERIÓDICOS VINCENTOS A SERVIDORES OU EMPREGADOS, CONFORME AÇÃO ORÇAMENTÁRIA ESPECÍFICA, APROPRIADO PELO CRITÉRIO DE COMPETÊNCIA</t>
  </si>
  <si>
    <t>TOTAL</t>
  </si>
  <si>
    <t>BENEFÍCIOS A SERVIDORES E EMPREGADOS - AUXÍLIO-TRANSPORTE</t>
  </si>
  <si>
    <t>BENEFÍCIOS A SERVIDORES E EMPREGADOS - AUXÍLIO-ALIMENTAÇÃO</t>
  </si>
  <si>
    <t>BENEFÍCIOS A SERVIDORES E EMPREGADOS - AUXÍLIO-CRECHE</t>
  </si>
  <si>
    <t>BENEFÍCIOS A SERVIDORES E EMPREGADOS - ASSISTÊNCIA MÉDICA E ODONTOLÓGICA</t>
  </si>
  <si>
    <t>DIÁRIAS PAGAS A SERVIDORES, EMPREGADOS E COLABORADORES</t>
  </si>
  <si>
    <t>PASSAGENS E DESPESAS COM LOCOMOÇÃO</t>
  </si>
  <si>
    <t>INDENIZAÇÃO DE AJUDA DE CUSTO, TRANSPORTE E AUXÍLIO MORADIA</t>
  </si>
  <si>
    <t>SERVIÇO DE AGUA E ESGOTO</t>
  </si>
  <si>
    <t>SERVIÇO DE ENERGIA ELÉTRICA</t>
  </si>
  <si>
    <t>SERVIÇO DE TELECOMUNICAÇÕES</t>
  </si>
  <si>
    <t>SERVIÇO DE COMUNICAÇÃO EM GERAL</t>
  </si>
  <si>
    <t>SERVIÇOS DE INFORMÁTICA, INCLUINDO MANUTENÇÃO E LOCAÇÃO DE SOFTWARE, LICAÇÃO DE EQUIPAMENTOS DE PROCESSAMENTO DE DADOS, SERVIÇOS TÉCNICO-PROFISSIONAIS DE TECNOLOGIA DA INFORMAÇÃO, AQUISIÇÃO DE SOFTWARE SOB ENCOMENDA, MANUTENÇÃO E CONSERVAÇÃO DE EQUIPAMENT</t>
  </si>
  <si>
    <t>SERVIÇO DE LIMPEZA E CONSERVAÇÃO</t>
  </si>
  <si>
    <t>SERVIÇO DE VIGILÂNCIA ARAMDA E DESARMADA</t>
  </si>
  <si>
    <t>SERVIÇO DE PUBLICIDADE</t>
  </si>
  <si>
    <t>LOCAÇÃO DE MÃO DE OBRA E POSTOS DE TRABALHO, RESSALVADO O APROPRIADO NAS ALÍNEAS "n" E "o"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</si>
  <si>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</si>
  <si>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</si>
  <si>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</si>
  <si>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</si>
  <si>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</si>
  <si>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</si>
  <si>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RESSALVADOR O APROPRIADO NAS ALÍNEAS "s" A "w"</t>
  </si>
  <si>
    <t>SERVIÇOS MÉDICOS, HOSPITALARES, ODONTOLÓGICOS E LABORATORIAIS</t>
  </si>
  <si>
    <t>CONSTRUÇÃO E REFORMA DE IMÓVEIS</t>
  </si>
  <si>
    <t>AQUISIÇÃO DE MATERIAL PERMANENTE - VEÍCULOS</t>
  </si>
  <si>
    <t>AQUISIÇÃO DE MATERIAL PERMANENTE - EQUIPAMENTOS DE INFOMÁTICA</t>
  </si>
  <si>
    <t>AQUISIÇÃO DE MATERIAL PERMANENTE - PROGRAMAS DE INFORMÁTICAS</t>
  </si>
  <si>
    <t>AQUISIÇÃO DE MATERIAL PERMANENTE - DEMAIS ITENS</t>
  </si>
  <si>
    <t>INCISO IV - DESPESAS COM INVERSÕES FINANCEIRAS</t>
  </si>
  <si>
    <t xml:space="preserve">AQUISIÇÃO DE IMÓVEIS, OU BENS DE CAPITAL EM UTILIZAÇÃO </t>
  </si>
  <si>
    <t>OUTRAS INVERSÕES</t>
  </si>
  <si>
    <t>INCISO V - REPASSES DO TESOURO NACIONAL OU ESTADUAL OU SUB-REPASSES RECEBIDOS, DESTINADOS AO PAGAMENTO DE:</t>
  </si>
  <si>
    <t>INVESTIMENTOS</t>
  </si>
  <si>
    <t>INVERSOES FINANCEIRA</t>
  </si>
  <si>
    <t>INCISO VI - RECEITAS</t>
  </si>
  <si>
    <t>RECURSOS A TÍTULO DE CUSTAS JUDICIAIS</t>
  </si>
  <si>
    <t>RECURSOS A TÍTULO DE DE TAXAS JUDICIÁRIAS</t>
  </si>
  <si>
    <t>RECURSOS A TÍTULO DE SERVIÇOS EXTRAJUDICIÁRIOS</t>
  </si>
  <si>
    <t>AQUISIÇÃO DEMAIS RECURSOS CONFORME PREVISÃO EM LEIS ESPECÍFICAS</t>
  </si>
  <si>
    <t xml:space="preserve"> RESOLUÇÃO Nº 102, DE 15 DE DEZEMBRO DE 2009, DO CONSELHO NACIONAL DE JUSTIÇA</t>
  </si>
  <si>
    <r>
      <t>Desembargadora Presidente do Tribunal Regional do Trabalho da 5ª Região:</t>
    </r>
    <r>
      <rPr>
        <sz val="8"/>
        <rFont val="Tahoma"/>
        <family val="2"/>
      </rPr>
      <t xml:space="preserve"> Valtercio Ronaldo de Oliveira</t>
    </r>
  </si>
  <si>
    <t>Alínea</t>
  </si>
  <si>
    <t>CONTAS</t>
  </si>
  <si>
    <t>PESSOAL ATIVO</t>
  </si>
  <si>
    <t>3.3.1.9.0.11.00</t>
  </si>
  <si>
    <t>3.3.1.9.0.16.00</t>
  </si>
  <si>
    <t>3.3.1.9.0.92.00</t>
  </si>
  <si>
    <t>3.3.1.9.0.92.11</t>
  </si>
  <si>
    <t>3.3.1.9.0.96.00</t>
  </si>
  <si>
    <t>3.3.1.9.0.96.01</t>
  </si>
  <si>
    <t xml:space="preserve">TOTAL PESSOAL ATIVO </t>
  </si>
  <si>
    <t>PESSOAL INATIVO</t>
  </si>
  <si>
    <t>3.3.1.9.0.01.00</t>
  </si>
  <si>
    <t>3.3.1.9.0.03.00</t>
  </si>
  <si>
    <t>3.3.1.9.0.92.01</t>
  </si>
  <si>
    <t>3.3.1.9.0.92.03</t>
  </si>
  <si>
    <t>3.3.1.9.0.92.12</t>
  </si>
  <si>
    <t>3.3.1.9.0.92.31</t>
  </si>
  <si>
    <t>3.3.1.9.0.92.80</t>
  </si>
  <si>
    <t>TOTAL PESSOAL INATIVO</t>
  </si>
  <si>
    <t>ENCARGOS SOCIAIS</t>
  </si>
  <si>
    <t>3.3.1.9.0.13.00</t>
  </si>
  <si>
    <t>3.3.1.9.1.13.00</t>
  </si>
  <si>
    <t>3.3.1.9.1.92.00</t>
  </si>
  <si>
    <t>3.3.1.9.1.92.05</t>
  </si>
  <si>
    <t>3.3.1.9.1.92.06</t>
  </si>
  <si>
    <t>3.3.1.9.1.92.13</t>
  </si>
  <si>
    <t>TOTAL ENCARGOS SOCIAIS</t>
  </si>
  <si>
    <t>DESPESAS SETENÇAS JUDICIAIS</t>
  </si>
  <si>
    <t>3.3.1.9.0.91.00</t>
  </si>
  <si>
    <t>3.3.1.9.0.91.05 - DIRETA</t>
  </si>
  <si>
    <t>3.3.1.9.0.91.06 - SPV</t>
  </si>
  <si>
    <t>3.3.1.9.0.91.07 - INDIRETA</t>
  </si>
  <si>
    <t>3.3.1.9.1.91.07 - INDIRETA</t>
  </si>
  <si>
    <t>TOTAL INCISO I</t>
  </si>
  <si>
    <t>AUXILIO TRANSPORTE</t>
  </si>
  <si>
    <t>3.3.3.9.0.49.00</t>
  </si>
  <si>
    <t>3.3.3.9.0.49.01</t>
  </si>
  <si>
    <t>AUXILIO ALIMENTAÇÃO</t>
  </si>
  <si>
    <t>3.3.3.9.0.46.00</t>
  </si>
  <si>
    <t>3.3.3.9.0.46.01</t>
  </si>
  <si>
    <t>3.3.3.9.0.92.00</t>
  </si>
  <si>
    <t>3.3.3.9.0.92.46</t>
  </si>
  <si>
    <t>TOTAL INDENIZAÇÕES</t>
  </si>
  <si>
    <t>AUXILIO CRECHE</t>
  </si>
  <si>
    <t>3.3.3.9.0.08.00</t>
  </si>
  <si>
    <t>3.3.3.9.0.92.08</t>
  </si>
  <si>
    <t>ASSISTENCIA MEDICA ODONTO</t>
  </si>
  <si>
    <t>3.3.3.9.0.93.00</t>
  </si>
  <si>
    <t>3.3.3.9.0.93.08</t>
  </si>
  <si>
    <t>DIÁRIAS</t>
  </si>
  <si>
    <t>3.3.3.9.0.14.00</t>
  </si>
  <si>
    <t>3.3.3.9.0.14.14</t>
  </si>
  <si>
    <t>3.3.3.9.0.92.14</t>
  </si>
  <si>
    <t>PASSAGENS E DESP LOCOM</t>
  </si>
  <si>
    <t>3.3.3.9.0.33.00</t>
  </si>
  <si>
    <t>3.3.3.9.0.33.01</t>
  </si>
  <si>
    <t>3.3.3.9.0.33.03</t>
  </si>
  <si>
    <t>3.3.3.9.0.92.33</t>
  </si>
  <si>
    <t>3.3.3.9.0.92.33 - 01</t>
  </si>
  <si>
    <t>TOTAL PASSAG E DESP LOCOM</t>
  </si>
  <si>
    <t>INDENIZAÇÕES</t>
  </si>
  <si>
    <t>3.3.3.9.0.93.01</t>
  </si>
  <si>
    <t>3.3.3.9.0.93.02</t>
  </si>
  <si>
    <t>3.3.3.9.0.93.03</t>
  </si>
  <si>
    <t>3.3.3.9.0.93.05</t>
  </si>
  <si>
    <t>3.3.3.9.0.93.06</t>
  </si>
  <si>
    <t>3.3.3.9.0.93.12</t>
  </si>
  <si>
    <t>3.3.3.9.0.92.93</t>
  </si>
  <si>
    <t>3.3.3.9.0.36.00</t>
  </si>
  <si>
    <t>3.3.3.9.0.36.15</t>
  </si>
  <si>
    <t>3.3.3.9.0.39.00</t>
  </si>
  <si>
    <t>3.3.3.9.0.39.10</t>
  </si>
  <si>
    <t>3.3.3.9.0.92.36</t>
  </si>
  <si>
    <t>3.3.3.9.0.92.36 - 15</t>
  </si>
  <si>
    <t>3.3.3.9.0.92.39 - 10</t>
  </si>
  <si>
    <t>TOTAL ALUGUEL IMOVEL</t>
  </si>
  <si>
    <t>ÁGUA E ESGOTO</t>
  </si>
  <si>
    <t>3.3.3.9.0.39.44</t>
  </si>
  <si>
    <t>3.3.3.9.0.92.39</t>
  </si>
  <si>
    <t>3.3.3.9.0.92.39 - 44</t>
  </si>
  <si>
    <t>TOTAL ÁGUA E ESGOTO</t>
  </si>
  <si>
    <t>ENERGIA ELÉTRICA</t>
  </si>
  <si>
    <t>3.3.3.9.0.39.43</t>
  </si>
  <si>
    <t>3.3.3.9.0.92.39 - 43</t>
  </si>
  <si>
    <t>TOTAL ENERGIA ELÉTRICA</t>
  </si>
  <si>
    <t>TELECOMUNICAÇOES</t>
  </si>
  <si>
    <t>3.3.3.9.0.39.58</t>
  </si>
  <si>
    <t>3.3.3.9.0.92.39 - 58</t>
  </si>
  <si>
    <t>TOTAL TELECOMUNICAÇOES</t>
  </si>
  <si>
    <t>COMUNICAÇÃO EM GERAL</t>
  </si>
  <si>
    <t>3.3.3.9.0.39.47</t>
  </si>
  <si>
    <t>3.3.3.9.0.92.39 - 47</t>
  </si>
  <si>
    <t>3.3.3.9.1.39.00</t>
  </si>
  <si>
    <t>3.3.3.9.1.39.47</t>
  </si>
  <si>
    <t>3.3.3.9.1.92.00</t>
  </si>
  <si>
    <t>3.3.3.9.1.92.39.47</t>
  </si>
  <si>
    <t>TOTAL COMUNIC. EM GERAL</t>
  </si>
  <si>
    <t>SERVIÇOS DE INFORMÁTICA</t>
  </si>
  <si>
    <t>3.3.3.9.0.35.00</t>
  </si>
  <si>
    <t>3.3.3.9.0.35.04</t>
  </si>
  <si>
    <t>3.3.3.9.0.37.00</t>
  </si>
  <si>
    <t xml:space="preserve">3.3.3.9.0.37.28 </t>
  </si>
  <si>
    <t xml:space="preserve">3.3.3.9.0.39.08 </t>
  </si>
  <si>
    <t>3.3.3.9.0.39.26</t>
  </si>
  <si>
    <t>3.3.3.9.0.39.27</t>
  </si>
  <si>
    <t>3.3.3.9.0.39.28</t>
  </si>
  <si>
    <t xml:space="preserve">3.3.3.9.0.39.57 </t>
  </si>
  <si>
    <t xml:space="preserve">3.3.3.9.0.39.94 </t>
  </si>
  <si>
    <t xml:space="preserve">3.3.3.9.0.39.95 </t>
  </si>
  <si>
    <t>3.3.3.9.0.39.97</t>
  </si>
  <si>
    <t>3.3.3.9.0.92.39.08</t>
  </si>
  <si>
    <t>3.3.3.9.0.92.39.27</t>
  </si>
  <si>
    <t>3.3.3.9.0.92.39.57</t>
  </si>
  <si>
    <t>3.3.3.9.0.92.39-95</t>
  </si>
  <si>
    <t>3.3.3.9.0.92.39.97</t>
  </si>
  <si>
    <t>3.4.4.9.0.39.00</t>
  </si>
  <si>
    <t>3.4.4.9.0.39.93</t>
  </si>
  <si>
    <t>TOTAL INFORMÁTICA</t>
  </si>
  <si>
    <t>LIMPEZA E CONSERVAÇÃO</t>
  </si>
  <si>
    <t>3.3.3.9.0.30.00</t>
  </si>
  <si>
    <t>3.3.3.9.0.30.22</t>
  </si>
  <si>
    <t>3.3.3.9.0.37.02</t>
  </si>
  <si>
    <t>3.3.3.9.0.39.78</t>
  </si>
  <si>
    <t>TOTAL LIMP. E CONSERVAÇÃO</t>
  </si>
  <si>
    <t>VIGILÃNCIA</t>
  </si>
  <si>
    <t>3.3.3.9.0.39.77</t>
  </si>
  <si>
    <t>3.3.3.9.0.37.03</t>
  </si>
  <si>
    <t>3.3.3.9.0.92.37</t>
  </si>
  <si>
    <t>3.3.3.9.0.92.37.03</t>
  </si>
  <si>
    <t>TOTAL VIGILÃNCIA</t>
  </si>
  <si>
    <t>PUBLICIDADE</t>
  </si>
  <si>
    <t>3.3.3.9.0.39.90</t>
  </si>
  <si>
    <t>P</t>
  </si>
  <si>
    <t>3.3.3.9.0.92.39 - 90</t>
  </si>
  <si>
    <t>3.3.3.9.1.39.90</t>
  </si>
  <si>
    <t>3.3.3.9.1.92.39.90</t>
  </si>
  <si>
    <t>TOTAL PUBLICIDADE</t>
  </si>
  <si>
    <t>LOCAÇÃO DE MÃO DE OBRA</t>
  </si>
  <si>
    <t xml:space="preserve"> 3.3.3.9.0.37.01</t>
  </si>
  <si>
    <t xml:space="preserve"> 3.3.3.9.0.37.04 </t>
  </si>
  <si>
    <t xml:space="preserve"> 3.3.3.9.0.37.05</t>
  </si>
  <si>
    <t xml:space="preserve"> 3.3.3.9.0.37.06 </t>
  </si>
  <si>
    <t>3.3.3.9.0.92.37 - 01</t>
  </si>
  <si>
    <t>3.3.3.9.0.92.37 - 04</t>
  </si>
  <si>
    <t>3.3.3.9.0.92.37 - 06</t>
  </si>
  <si>
    <t>TOTA LOC. DE MÃO DE OBRA</t>
  </si>
  <si>
    <t>SELEÇÃO E TREINAMENTO</t>
  </si>
  <si>
    <t>3.3.3.9.0.30.45</t>
  </si>
  <si>
    <t>3.3.3.9.0.36.28</t>
  </si>
  <si>
    <t>3.3.3.9.0.39.48</t>
  </si>
  <si>
    <t>3.3.3.9.0.92.36 - 28</t>
  </si>
  <si>
    <t>3.3.3.9.0.92.39 - 48</t>
  </si>
  <si>
    <t>3.3.3.9.1.39.48</t>
  </si>
  <si>
    <t>TOTAL SELEÇÃO E TREINAM</t>
  </si>
  <si>
    <t>MATERIAL DE EXPEDIENTE</t>
  </si>
  <si>
    <t>3.3.3.9.0.30.16</t>
  </si>
  <si>
    <t>MATERIAL PROC. DADOS SOFT</t>
  </si>
  <si>
    <t>3.3.3.9.0.30.17</t>
  </si>
  <si>
    <t>3.3.3.9.0.30.47</t>
  </si>
  <si>
    <t>MATERIAL BIBLIOGRÁFICO</t>
  </si>
  <si>
    <t>3.3.3.9.0.30.46</t>
  </si>
  <si>
    <t>3.3.3.9.1.30.00</t>
  </si>
  <si>
    <t>3.3.3.9.1.30.46</t>
  </si>
  <si>
    <t>COMBUSTIVEL E LUBRIFICANTE</t>
  </si>
  <si>
    <t>3.3.3.9.0.30.01</t>
  </si>
  <si>
    <t>3.3.3.9.0.30.03</t>
  </si>
  <si>
    <t>3.3.3.9.0.92.92</t>
  </si>
  <si>
    <t>3.3.3.9.0.92.92 - 01</t>
  </si>
  <si>
    <t>TOTAL COMBUSTIVEL E LUB.</t>
  </si>
  <si>
    <t>GENERO ALIMENTICIOS</t>
  </si>
  <si>
    <t>3.3.3.9.0.30.07</t>
  </si>
  <si>
    <t>3.3.3.9.0.92.30</t>
  </si>
  <si>
    <t>3.3.3.9.0.92.30 - 07</t>
  </si>
  <si>
    <t>TOTALGENERO ALIMENTICIOS</t>
  </si>
  <si>
    <t>VÁRIOS MAT. DE CONSUMO</t>
  </si>
  <si>
    <t>COMB LUBRIF AVIÃO</t>
  </si>
  <si>
    <t>3.3.3.9.0.30.02</t>
  </si>
  <si>
    <t>GAS E OUTRO MATERIAIS</t>
  </si>
  <si>
    <t>3.3.3.9.0.30.04</t>
  </si>
  <si>
    <t>EXPLOSIVOS E MUNIÇÕES</t>
  </si>
  <si>
    <t>3.3.3.9.0.30.05</t>
  </si>
  <si>
    <t>MATERIAL FARMACOLOGICO</t>
  </si>
  <si>
    <t>3.3.3.9.0.30.09</t>
  </si>
  <si>
    <t>MATERIAL ODONTOLOGICO</t>
  </si>
  <si>
    <t>3.3.3.9.0.30.10</t>
  </si>
  <si>
    <t>MATERIAL QUÍMICO</t>
  </si>
  <si>
    <t>3.3.3.9.0.30.11</t>
  </si>
  <si>
    <t>MAT. FESTIVIDADES/HOMENAG</t>
  </si>
  <si>
    <t>3.3.3.9.0.30.15</t>
  </si>
  <si>
    <t>MAT. ACOND. E EMBALAGEM</t>
  </si>
  <si>
    <t>3.3.3.9.0.30.19</t>
  </si>
  <si>
    <t>MAT. CAMA. MESA E BANHO</t>
  </si>
  <si>
    <t>3.3.3.9.0.30.20</t>
  </si>
  <si>
    <t>MAT. COPA E COZINHA</t>
  </si>
  <si>
    <t>3.3.3.9.0.30.21</t>
  </si>
  <si>
    <t>MAT. LIMPEZA E PROD HIGIEN.</t>
  </si>
  <si>
    <t>UNIFORMES, TECIDOS E AVIAM</t>
  </si>
  <si>
    <t>3.3.3.9.0.30.23</t>
  </si>
  <si>
    <t>MAT. MANUT. BENS IMÓVEIS</t>
  </si>
  <si>
    <t>3.3.3.9.0.30.24</t>
  </si>
  <si>
    <t>MAT. MANUT. BENS MÓVEIS</t>
  </si>
  <si>
    <t>3.3.3.9.0.30.25</t>
  </si>
  <si>
    <t>MAT. ELÉTRICO E ELETRONICO</t>
  </si>
  <si>
    <t>3.3.3.9.0.30.26</t>
  </si>
  <si>
    <t>MAT. PROTEÇÃO E SEGURANÇ</t>
  </si>
  <si>
    <t>3.3.3.9.0.30.28</t>
  </si>
  <si>
    <t>MAT. AUDIO. VIDEO E FOTO</t>
  </si>
  <si>
    <t>3.3.3.9.0.30.29</t>
  </si>
  <si>
    <t>MAT. P/COMUNICAÇÃO</t>
  </si>
  <si>
    <t>3.3.3.9.0.30.30</t>
  </si>
  <si>
    <t>SEMENTE, MUDAS DE PLANTAS</t>
  </si>
  <si>
    <t>3.3.3.9.0.30.31</t>
  </si>
  <si>
    <t>MAT. LABORATORIAL</t>
  </si>
  <si>
    <t>3.3.3.9.0.30.35</t>
  </si>
  <si>
    <t>MATERIAL HOSPITALAR</t>
  </si>
  <si>
    <t>3.3.3.9.0.30.36</t>
  </si>
  <si>
    <t>SOBRESSALENTE ARMAMENTO</t>
  </si>
  <si>
    <t>3.3.3.9.0.30.37</t>
  </si>
  <si>
    <t>MAT. MANUT. VEÍCULOS</t>
  </si>
  <si>
    <t>3.3.3.9.0.30.39</t>
  </si>
  <si>
    <t>MAT. P/UTILIZ. EM GRÁFICA</t>
  </si>
  <si>
    <t>3.3.3.9.0.30.41</t>
  </si>
  <si>
    <t>FERRAMENTOS</t>
  </si>
  <si>
    <t>3.3.3.9.0.30.42</t>
  </si>
  <si>
    <t>MAT. P/REB PROFISSIONAL</t>
  </si>
  <si>
    <t>3.3.3.9.0.30.43</t>
  </si>
  <si>
    <t>MAT. SINALIZAÇÃO VISUAL</t>
  </si>
  <si>
    <t>3.3.3.9.0.30.44</t>
  </si>
  <si>
    <t xml:space="preserve">BANDEIRAS, FLAMULAS </t>
  </si>
  <si>
    <t>3.3.3.9.0.30.50</t>
  </si>
  <si>
    <t>MAT. CONSUMO-PAGTº ANTEC</t>
  </si>
  <si>
    <t>3.3.3.9.0.30.96</t>
  </si>
  <si>
    <t>3.3.3.9.0.92.30-22</t>
  </si>
  <si>
    <t>3.3.3.9.0.92.30-23</t>
  </si>
  <si>
    <t>3.3.3.9.0.92.30-39</t>
  </si>
  <si>
    <t>TOTAL DEMAIS MAT. CONSUMO</t>
  </si>
  <si>
    <t>SERV MÉDICOS, ODONT. LAB.</t>
  </si>
  <si>
    <t>3.3.3.9.0.39.50</t>
  </si>
  <si>
    <t>3.3.3.9.0.92.39-50</t>
  </si>
  <si>
    <t>TOTALSERV MÉDICOS, ODONT. LAB.</t>
  </si>
  <si>
    <t>ASS. CONSULT TEC</t>
  </si>
  <si>
    <t>SERV.  TÉC. PROFISSIONAIS</t>
  </si>
  <si>
    <t>3.3.3.9.0.36.06</t>
  </si>
  <si>
    <t>ESTAGIÁRIOS</t>
  </si>
  <si>
    <t>3.3.3.9.0.36.07</t>
  </si>
  <si>
    <t>PERICIAS TÉCNICAS GRATUITA</t>
  </si>
  <si>
    <t>3.3.3.9.0.36.10</t>
  </si>
  <si>
    <t>MANUT. BENS IMÓVEIS</t>
  </si>
  <si>
    <t>3.3.3.9.0.36.22</t>
  </si>
  <si>
    <t>SERV DOMESTICOS</t>
  </si>
  <si>
    <t>3.3.3.9.0.36.26</t>
  </si>
  <si>
    <t xml:space="preserve">SERV. APOI ADMIN. TEC. </t>
  </si>
  <si>
    <t>3.3.3.9.0.36.35</t>
  </si>
  <si>
    <t>SERV. AUDIO, VIDEO E  FOTO</t>
  </si>
  <si>
    <t>3.3.3.9.0.36.59</t>
  </si>
  <si>
    <t>ASS. PERIODICOS E ANUIDADE</t>
  </si>
  <si>
    <t>3.3.3.9.0.39.01</t>
  </si>
  <si>
    <t>DIREITOS AUTORAIS</t>
  </si>
  <si>
    <t>3.3.3.9.0.39.04</t>
  </si>
  <si>
    <t>3.3.3.9.0.39.05</t>
  </si>
  <si>
    <t>LOCAÇÃO MAQ. EQUIPAMENTO</t>
  </si>
  <si>
    <t>3.3.3.9.0.39.12</t>
  </si>
  <si>
    <t>3.3.3.9.0.39.13</t>
  </si>
  <si>
    <t>LOCAÇÃO BENS MÓVEIS</t>
  </si>
  <si>
    <t>3.3.3.9.0.39.14</t>
  </si>
  <si>
    <t>TRIBUTOS P/CONTA LOCATÁRIO</t>
  </si>
  <si>
    <t>3.3.3.9.0.39.15</t>
  </si>
  <si>
    <t>3.3.3.9.0.39.16</t>
  </si>
  <si>
    <t>MANUT MAQ E EQUIP</t>
  </si>
  <si>
    <t>3.3.3.9.0.39.17</t>
  </si>
  <si>
    <t>MANUT. CONSERV. VEICULOS</t>
  </si>
  <si>
    <t>3.3.3.9.0.39.19</t>
  </si>
  <si>
    <t>MANUT. BENS MÓVEIS</t>
  </si>
  <si>
    <t>3.3.3.9.0.39.20</t>
  </si>
  <si>
    <t>MANUT. EST VIAS</t>
  </si>
  <si>
    <t>3.3.3.9.0.39.21</t>
  </si>
  <si>
    <t>EXPOSIÇÃO, CONGR. CONFER</t>
  </si>
  <si>
    <t>3.3.3.9.0.39.22</t>
  </si>
  <si>
    <t>VISTOS CONSULARES</t>
  </si>
  <si>
    <t>3.3.3.9.0.39.23</t>
  </si>
  <si>
    <t>3.3.3.9.0.39.24</t>
  </si>
  <si>
    <t>TAXA DE ADMINISTRAÇÃO</t>
  </si>
  <si>
    <t>3.3.3.9.0.39.25</t>
  </si>
  <si>
    <t>LOCAÇÃO EQUIP PD</t>
  </si>
  <si>
    <t>3.3.3.9.0.39.31</t>
  </si>
  <si>
    <t>MULTAS DEDUTIVEIS</t>
  </si>
  <si>
    <t>3.3.3.9.0.39.35</t>
  </si>
  <si>
    <t>MULTAS INDEDUTIVEIS</t>
  </si>
  <si>
    <t>3.3.3.9.0.39.36</t>
  </si>
  <si>
    <t>JUROS</t>
  </si>
  <si>
    <t>3.3.3.9.0.39.37</t>
  </si>
  <si>
    <t>ENCARGOS FINANCEIROS</t>
  </si>
  <si>
    <t>3.3.3.9.0.39.39</t>
  </si>
  <si>
    <t>SERVIÇO CARATER SECRETO</t>
  </si>
  <si>
    <t>3.3.3.9.0.39.42</t>
  </si>
  <si>
    <t>SERVIÇOS DOMÉSTICOS</t>
  </si>
  <si>
    <t>3.3.3.9.0.39.46</t>
  </si>
  <si>
    <t>PROD JORNALISTICAS</t>
  </si>
  <si>
    <t>3.3.3.9.0.39.49</t>
  </si>
  <si>
    <t>3.3.3.9.0.39.59</t>
  </si>
  <si>
    <t>SERV. SOCORRO E SALVAM</t>
  </si>
  <si>
    <t>3.3.3.9.0.39.61</t>
  </si>
  <si>
    <t>SERV. GRÁFICOS E EDITORIAS</t>
  </si>
  <si>
    <t>3.3.3.9.0.39.63</t>
  </si>
  <si>
    <t>SEGUROS EM GERAL</t>
  </si>
  <si>
    <t>3.3.3.9.0.39.69</t>
  </si>
  <si>
    <t>CONFEC. UNIFORMES, BAND.</t>
  </si>
  <si>
    <t>3.3.3.9.0.39.70</t>
  </si>
  <si>
    <t>FRETES E TRANSP. ENCOMEN</t>
  </si>
  <si>
    <t>3.3.3.9.0.39.74</t>
  </si>
  <si>
    <t>SERV. INCINERAÇÃO</t>
  </si>
  <si>
    <t>3.3.3.9.0.39.75</t>
  </si>
  <si>
    <t>3.3.3.9.0.39.79</t>
  </si>
  <si>
    <t>SERV. CÓPIAS E REPROD.</t>
  </si>
  <si>
    <t>3.3.3.9.0.39.83</t>
  </si>
  <si>
    <t>OUTROS S. TERC.-PAGTº ANTEC</t>
  </si>
  <si>
    <t>3.3.3.9.0.39.96</t>
  </si>
  <si>
    <t>3.3.3.9.0.92.36 - 07</t>
  </si>
  <si>
    <t>3.3.3.9.0.92.36 - 10</t>
  </si>
  <si>
    <t>3.3.3.9.0.92.39 - 01</t>
  </si>
  <si>
    <t>3.3.3.9.0.92.39 - 05</t>
  </si>
  <si>
    <t>3.3.3.9.0.92.39 - 12</t>
  </si>
  <si>
    <t>3.3.3.9.0.92.39 - 13</t>
  </si>
  <si>
    <t>3.3.3.9.0.92.39 - 16</t>
  </si>
  <si>
    <t>3.3.3.9.0.92.39 - 17</t>
  </si>
  <si>
    <t>3.3.3.9.0.92.39 - 19</t>
  </si>
  <si>
    <t>3.3.3.9.0.92.39 - 39</t>
  </si>
  <si>
    <t>3.3.3.9.0.92.39 - 46</t>
  </si>
  <si>
    <t>3.3.3.9.0.92.39 - 49</t>
  </si>
  <si>
    <t>3.3.3.9.0.92.39 - 79</t>
  </si>
  <si>
    <t>3.3.3.9.0.92.39 - 83</t>
  </si>
  <si>
    <t>3.3.3.9.0.92.50</t>
  </si>
  <si>
    <t>MULTAS E JUROS</t>
  </si>
  <si>
    <t>3.3.3.9.1.39.01</t>
  </si>
  <si>
    <t>3.3.3.9.1.39.05</t>
  </si>
  <si>
    <t>3.3.3.9.1.39.36</t>
  </si>
  <si>
    <t>3.3.3.9.0.47.00</t>
  </si>
  <si>
    <t>ITR</t>
  </si>
  <si>
    <t>3.3.3.9.0.47.01</t>
  </si>
  <si>
    <t>IPTU</t>
  </si>
  <si>
    <t>3.3.3.9.0.47.02</t>
  </si>
  <si>
    <t>TAXAS</t>
  </si>
  <si>
    <t>3.3.3.9.0.47.10</t>
  </si>
  <si>
    <t>3.3.3.9.1.47.00</t>
  </si>
  <si>
    <t>CONTRIB. PREV.-SERV.TERC</t>
  </si>
  <si>
    <t>3.3.3.9.1.47.18</t>
  </si>
  <si>
    <t>CONTRIB. TRIB. CONTRIBUTIVAS</t>
  </si>
  <si>
    <t>3.3.3.9.0.92.47</t>
  </si>
  <si>
    <t>3.4.3.9.0.39.00</t>
  </si>
  <si>
    <t>3.4.3.9.0.39.01</t>
  </si>
  <si>
    <t>3.4.3.9.0.39.39</t>
  </si>
  <si>
    <t>TOTAL DEMAIS DESP CUSTEIO</t>
  </si>
  <si>
    <t>TOTAL INCISO II</t>
  </si>
  <si>
    <t>TOTAL DESP CORRENTES I E II</t>
  </si>
  <si>
    <t>CONSTRUÇÃO REF. IMÓVEIS</t>
  </si>
  <si>
    <t>3.4.4.9.0.51.00</t>
  </si>
  <si>
    <t>3.4.4.9.0.51.80</t>
  </si>
  <si>
    <t>3.4.4.9.0.51.91</t>
  </si>
  <si>
    <t>3.4.4.9.0.51.92</t>
  </si>
  <si>
    <t>3.4.4.9.0.92.00</t>
  </si>
  <si>
    <t>3.4.4.9.0.92.51</t>
  </si>
  <si>
    <t>TOTAL CONSTR. REF. IMÓVEIS</t>
  </si>
  <si>
    <t>MAT. PERMANENTE-VEÍCULOS</t>
  </si>
  <si>
    <t>3.4.4.9.0.52.00</t>
  </si>
  <si>
    <t>3.4.4.9.0.52.52</t>
  </si>
  <si>
    <t>MAT. PERM.-EQUIP INFORMAT</t>
  </si>
  <si>
    <t>3.4.4.9.0.52.35</t>
  </si>
  <si>
    <t>MAT. PERM.-PROG INFORMAT</t>
  </si>
  <si>
    <t>DEMAIS DESP MAT PERMAN</t>
  </si>
  <si>
    <t>APARELHOS MED E ORIENT</t>
  </si>
  <si>
    <t>3.4.4.9.0.52.04</t>
  </si>
  <si>
    <t>APARELHOS E EQUIP COMUNUCAÇÃO</t>
  </si>
  <si>
    <t>3.4.4.9.0.52.06</t>
  </si>
  <si>
    <t>APA EQUIP ODINT</t>
  </si>
  <si>
    <t>3.4.4.9.0.52.08</t>
  </si>
  <si>
    <t>APARELHOS UTENS DOMEST</t>
  </si>
  <si>
    <t>3.4.4.9.0.52.12</t>
  </si>
  <si>
    <t>ARMAMENTOS</t>
  </si>
  <si>
    <t>3.4.4.9.0.52.14</t>
  </si>
  <si>
    <t>EQUIP PROT SEG</t>
  </si>
  <si>
    <t>3.4.4.9.0.52.24</t>
  </si>
  <si>
    <t xml:space="preserve">MAQ  EQUIP NAT INDL </t>
  </si>
  <si>
    <t>3.4.4.9.0.52.28</t>
  </si>
  <si>
    <t>MAQ E EQUIP ENEGERTICOS</t>
  </si>
  <si>
    <t>3.4.4.9.0.52.30</t>
  </si>
  <si>
    <t>MAR EQUIP GRAFIC</t>
  </si>
  <si>
    <t>3.4.4.9.0.52.32</t>
  </si>
  <si>
    <t>EQUIP AUDIO, VIDEO E FOTO</t>
  </si>
  <si>
    <t>3.4.4.9.0.52.33</t>
  </si>
  <si>
    <t>MAQ UTENS E EQUIP DVS</t>
  </si>
  <si>
    <t>3.4.4.9.0.52.34</t>
  </si>
  <si>
    <t>MAQ INST E UTENS DVS</t>
  </si>
  <si>
    <t>3.4.4.9.0.52.36</t>
  </si>
  <si>
    <t>MAQ FERRAMENTAS UTENS OFI</t>
  </si>
  <si>
    <t>3.4.4.9.0.52.38</t>
  </si>
  <si>
    <t>MOBILIARIO EM GERAL</t>
  </si>
  <si>
    <t>3.4.4.9.0.52.42</t>
  </si>
  <si>
    <t>VEÍCULOS DIVERSOS</t>
  </si>
  <si>
    <t>3.4.4.9.0.52.48</t>
  </si>
  <si>
    <t>PEÇAS NÃO INCORP  IMÓVEIS</t>
  </si>
  <si>
    <t>3.4.4.9.0.52.51</t>
  </si>
  <si>
    <t>ACESSORIOS VEICULOS</t>
  </si>
  <si>
    <t>3.4.4.9.0.52.57</t>
  </si>
  <si>
    <t>TOTAL INCISO III</t>
  </si>
  <si>
    <t xml:space="preserve">TOTAL DESP CORRENTES/CAP </t>
  </si>
  <si>
    <t>INCISO IV - DESPESAS COM INVERSÕES FIANACEIRAS  - NÃO SE APLICA</t>
  </si>
  <si>
    <t>INCISO V - SUB-REPASSES DO TESOURO NACIONAL</t>
  </si>
  <si>
    <t>6.1.2.1.3.01.00</t>
  </si>
  <si>
    <t xml:space="preserve">INVESTIMENTO </t>
  </si>
  <si>
    <t>INVERSÕES FINANCEIRAS</t>
  </si>
  <si>
    <t>NÃO SE APLICA</t>
  </si>
  <si>
    <t>TOTAL INCISO V</t>
  </si>
  <si>
    <t>INCISO VI - RECEITAS  - NÃO SE APLICA</t>
  </si>
  <si>
    <t>3.3.1.9.0.96.02</t>
  </si>
  <si>
    <t>3.3.1.9.0.91.97 - OUTROS</t>
  </si>
  <si>
    <t>TOTAL AUXILIO ALIMENTAÇÃO</t>
  </si>
  <si>
    <t>3.3.3.9.0.08.09</t>
  </si>
  <si>
    <t>TOTAL AUXILIO CRECHE</t>
  </si>
  <si>
    <t>3.3.3.9.0.93.14</t>
  </si>
  <si>
    <t>3.3.3.9.0.92.93 - 02</t>
  </si>
  <si>
    <t>3.3.3.9.0.92.93 - 12</t>
  </si>
  <si>
    <t>3.3.3.9.0.36.57</t>
  </si>
  <si>
    <t>3.3.3.9.0.92.37.02</t>
  </si>
  <si>
    <t>3.3.3.9.0.39.92</t>
  </si>
  <si>
    <t>3.3.3.9.0.39.93</t>
  </si>
  <si>
    <t>3.3.3.9.1.39.93</t>
  </si>
  <si>
    <t>3.3.3.9.0.39.41</t>
  </si>
  <si>
    <t xml:space="preserve">PREMIAÇÕES </t>
  </si>
  <si>
    <t>3.3.3.9.0.31.00</t>
  </si>
  <si>
    <t>ORDENS HONORIFICAS</t>
  </si>
  <si>
    <t>3.3.3.9.0.31.05</t>
  </si>
  <si>
    <t>FUNERAL ATIVO</t>
  </si>
  <si>
    <t>3.3.3.9.0.08.01</t>
  </si>
  <si>
    <t>FUNERAL INATIVO</t>
  </si>
  <si>
    <t>3.3.3.9.0.08.03</t>
  </si>
  <si>
    <t>NATALIDADE ATIVO</t>
  </si>
  <si>
    <t>3.3.3.9.0.08.05</t>
  </si>
  <si>
    <t>3.3.3.9.0.35.01</t>
  </si>
  <si>
    <t>OUTROS SERV PF-PAGTº ANTEC</t>
  </si>
  <si>
    <t>3.3.3.9.0.36.96</t>
  </si>
  <si>
    <t>3.3.3.9.0.92.08 - 05</t>
  </si>
  <si>
    <t>3.3.3.9.0.92.36 - 59</t>
  </si>
  <si>
    <t>3.3.3.9.0.92.39 - 25</t>
  </si>
  <si>
    <t>3.3.3.9.0.92.39 - 59</t>
  </si>
  <si>
    <t>IPVA</t>
  </si>
  <si>
    <t>3.3.3.9.0.47.05</t>
  </si>
  <si>
    <t>3.3.3.9.1.92.47 - 18</t>
  </si>
  <si>
    <t>EQUIP UTENS HID ELET</t>
  </si>
  <si>
    <t>3.4.4.9.0.52.39</t>
  </si>
  <si>
    <t>MAT CONSUMO USO DURADOURO</t>
  </si>
  <si>
    <t>3.4.4.9.0.52.87</t>
  </si>
  <si>
    <t>DISCOTECAS N IMOB</t>
  </si>
  <si>
    <t>3.3.3.9.0.30.51</t>
  </si>
  <si>
    <t>3.3.3.9.0.39.71</t>
  </si>
  <si>
    <t>CONFEC ACOND</t>
  </si>
  <si>
    <t>RAP/2014</t>
  </si>
  <si>
    <t>TOTAL 2014</t>
  </si>
  <si>
    <t>3.3.1.9.0.92.96</t>
  </si>
  <si>
    <t>3.3.3.9.0.92,49</t>
  </si>
  <si>
    <t>3.3.3.9.0.92.39.77</t>
  </si>
  <si>
    <t>Período: EXERCÍCIO 2014</t>
  </si>
  <si>
    <t>3.3.3.9.0.92.39.78</t>
  </si>
  <si>
    <t>3.3.3.9.0.92.92 - 46</t>
  </si>
  <si>
    <t xml:space="preserve">3.3.1.9.0.91.33 - OUTRAS SPV </t>
  </si>
  <si>
    <t>3.3.3.9.0.92.93 - 03</t>
  </si>
  <si>
    <t>3.3.3.9.0.92.39 - 14</t>
  </si>
  <si>
    <t>3.3.3.9.0.59.00</t>
  </si>
  <si>
    <t>PENSÕES ESPECIAIS</t>
  </si>
  <si>
    <t>3.3.3.9.0.59.03</t>
  </si>
  <si>
    <t>PENSÃO M. CIVIL</t>
  </si>
  <si>
    <t>3.3.3.9.0.30.14</t>
  </si>
  <si>
    <t>MAT EDUC ESPORTI</t>
  </si>
  <si>
    <t>3.3.1.9.0.07.00</t>
  </si>
  <si>
    <t>3.3.1.9.0.07.06</t>
  </si>
  <si>
    <t>3.3.1.9.0.91.14 - SET N TRANS</t>
  </si>
  <si>
    <t>3.3.3.9.0.91.00</t>
  </si>
  <si>
    <t>3.3.3.9.0.91.01</t>
  </si>
  <si>
    <t>SETENÇAS JUDICIAIS</t>
  </si>
  <si>
    <t>SETENÇA JUDICIAL</t>
  </si>
  <si>
    <t>3.3.3.9.0.36.05</t>
  </si>
  <si>
    <t>SERVIÇOS BANCAR</t>
  </si>
  <si>
    <t>3.3.3.9.0.39.81</t>
  </si>
  <si>
    <t xml:space="preserve">ANEXO I - DEZEMBRO/2014 </t>
  </si>
  <si>
    <t>Publicado em: 20/01/2015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</si>
</sst>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0;[Red]0.00"/>
    <numFmt numFmtId="169" formatCode="#,##0.00;[Red]#,##0.00"/>
    <numFmt numFmtId="170" formatCode="#,##0;[Red]#,##0"/>
    <numFmt numFmtId="171" formatCode="#,##0.0;[Red]#,##0.0"/>
    <numFmt numFmtId="172" formatCode="#,##0.000"/>
    <numFmt numFmtId="173" formatCode="#,##0.0000"/>
    <numFmt numFmtId="174" formatCode="#,##0.00000"/>
    <numFmt numFmtId="175" formatCode="&quot;R$ &quot;#,##0"/>
    <numFmt numFmtId="176" formatCode="#,##0.000;[Red]#,##0.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i/>
      <sz val="8"/>
      <name val="Tahoma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43" fontId="0" fillId="0" borderId="0" xfId="20" applyFont="1" applyAlignment="1">
      <alignment/>
    </xf>
    <xf numFmtId="43" fontId="5" fillId="0" borderId="0" xfId="20" applyFont="1" applyAlignment="1">
      <alignment/>
    </xf>
    <xf numFmtId="43" fontId="6" fillId="0" borderId="0" xfId="20" applyFont="1" applyAlignment="1">
      <alignment vertical="top" wrapText="1"/>
    </xf>
    <xf numFmtId="43" fontId="6" fillId="0" borderId="0" xfId="20" applyFont="1" applyAlignment="1">
      <alignment horizontal="center" vertical="top" wrapText="1"/>
    </xf>
    <xf numFmtId="43" fontId="2" fillId="0" borderId="0" xfId="20" applyFont="1" applyAlignment="1">
      <alignment horizontal="right"/>
    </xf>
    <xf numFmtId="43" fontId="2" fillId="0" borderId="0" xfId="20" applyFont="1" applyFill="1" applyAlignment="1">
      <alignment horizontal="right"/>
    </xf>
    <xf numFmtId="43" fontId="2" fillId="0" borderId="0" xfId="20" applyFont="1" applyAlignment="1">
      <alignment/>
    </xf>
    <xf numFmtId="43" fontId="2" fillId="0" borderId="0" xfId="20" applyFont="1" applyAlignment="1">
      <alignment/>
    </xf>
    <xf numFmtId="43" fontId="7" fillId="0" borderId="0" xfId="20" applyFont="1" applyFill="1" applyAlignment="1" applyProtection="1">
      <alignment horizontal="left" vertical="center"/>
      <protection/>
    </xf>
    <xf numFmtId="43" fontId="8" fillId="0" borderId="0" xfId="20" applyFont="1" applyFill="1" applyAlignment="1" applyProtection="1">
      <alignment horizontal="left" vertical="center"/>
      <protection/>
    </xf>
    <xf numFmtId="43" fontId="7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right" vertical="center"/>
      <protection/>
    </xf>
    <xf numFmtId="43" fontId="7" fillId="0" borderId="0" xfId="20" applyFont="1" applyFill="1" applyAlignment="1" applyProtection="1">
      <alignment vertical="center"/>
      <protection/>
    </xf>
    <xf numFmtId="43" fontId="9" fillId="0" borderId="0" xfId="20" applyFont="1" applyFill="1" applyAlignment="1" applyProtection="1">
      <alignment horizontal="right" vertical="center"/>
      <protection/>
    </xf>
    <xf numFmtId="43" fontId="7" fillId="0" borderId="0" xfId="20" applyFont="1" applyFill="1" applyBorder="1" applyAlignment="1" applyProtection="1">
      <alignment horizontal="left" vertical="center"/>
      <protection/>
    </xf>
    <xf numFmtId="43" fontId="2" fillId="0" borderId="0" xfId="20" applyFont="1" applyFill="1" applyBorder="1" applyAlignment="1">
      <alignment horizontal="right"/>
    </xf>
    <xf numFmtId="43" fontId="2" fillId="0" borderId="0" xfId="20" applyFont="1" applyBorder="1" applyAlignment="1">
      <alignment horizontal="right"/>
    </xf>
    <xf numFmtId="43" fontId="10" fillId="0" borderId="0" xfId="20" applyFont="1" applyFill="1" applyAlignment="1" applyProtection="1">
      <alignment horizontal="left" vertical="center"/>
      <protection/>
    </xf>
    <xf numFmtId="43" fontId="5" fillId="0" borderId="0" xfId="20" applyFont="1" applyAlignment="1">
      <alignment/>
    </xf>
    <xf numFmtId="43" fontId="0" fillId="0" borderId="0" xfId="20" applyFont="1" applyAlignment="1">
      <alignment/>
    </xf>
    <xf numFmtId="43" fontId="11" fillId="0" borderId="0" xfId="20" applyFont="1" applyFill="1" applyAlignment="1">
      <alignment horizontal="center"/>
    </xf>
    <xf numFmtId="43" fontId="2" fillId="0" borderId="0" xfId="20" applyFont="1" applyBorder="1" applyAlignment="1">
      <alignment/>
    </xf>
    <xf numFmtId="43" fontId="11" fillId="0" borderId="0" xfId="20" applyFont="1" applyAlignment="1">
      <alignment horizontal="center"/>
    </xf>
    <xf numFmtId="43" fontId="12" fillId="0" borderId="0" xfId="20" applyFont="1" applyAlignment="1">
      <alignment/>
    </xf>
    <xf numFmtId="43" fontId="13" fillId="2" borderId="1" xfId="20" applyFont="1" applyFill="1" applyBorder="1" applyAlignment="1" applyProtection="1">
      <alignment horizontal="center" vertical="center"/>
      <protection/>
    </xf>
    <xf numFmtId="43" fontId="13" fillId="2" borderId="1" xfId="20" applyFont="1" applyFill="1" applyBorder="1" applyAlignment="1">
      <alignment horizontal="center" vertical="center"/>
    </xf>
    <xf numFmtId="43" fontId="13" fillId="2" borderId="1" xfId="20" applyFont="1" applyFill="1" applyBorder="1" applyAlignment="1" applyProtection="1">
      <alignment horizontal="center" vertical="center" wrapText="1"/>
      <protection/>
    </xf>
    <xf numFmtId="43" fontId="13" fillId="2" borderId="2" xfId="20" applyFont="1" applyFill="1" applyBorder="1" applyAlignment="1">
      <alignment horizontal="center" vertical="center" wrapText="1"/>
    </xf>
    <xf numFmtId="43" fontId="13" fillId="2" borderId="3" xfId="20" applyFont="1" applyFill="1" applyBorder="1" applyAlignment="1">
      <alignment horizontal="center" vertical="center" wrapText="1"/>
    </xf>
    <xf numFmtId="43" fontId="13" fillId="2" borderId="1" xfId="20" applyFont="1" applyFill="1" applyBorder="1" applyAlignment="1">
      <alignment horizontal="center" vertical="center" wrapText="1"/>
    </xf>
    <xf numFmtId="43" fontId="14" fillId="2" borderId="4" xfId="20" applyFont="1" applyFill="1" applyBorder="1" applyAlignment="1" applyProtection="1">
      <alignment horizontal="center" vertical="center" wrapText="1" shrinkToFit="1"/>
      <protection/>
    </xf>
    <xf numFmtId="43" fontId="1" fillId="0" borderId="5" xfId="20" applyFont="1" applyBorder="1" applyAlignment="1">
      <alignment horizontal="center" vertical="center"/>
    </xf>
    <xf numFmtId="43" fontId="7" fillId="0" borderId="5" xfId="20" applyFont="1" applyBorder="1" applyAlignment="1">
      <alignment horizontal="left" vertical="center" wrapText="1"/>
    </xf>
    <xf numFmtId="39" fontId="7" fillId="0" borderId="5" xfId="20" applyNumberFormat="1" applyFont="1" applyBorder="1" applyAlignment="1">
      <alignment horizontal="right" wrapText="1"/>
    </xf>
    <xf numFmtId="39" fontId="2" fillId="0" borderId="5" xfId="20" applyNumberFormat="1" applyFont="1" applyBorder="1" applyAlignment="1">
      <alignment horizontal="right"/>
    </xf>
    <xf numFmtId="39" fontId="7" fillId="0" borderId="6" xfId="20" applyNumberFormat="1" applyFont="1" applyBorder="1" applyAlignment="1">
      <alignment horizontal="right"/>
    </xf>
    <xf numFmtId="39" fontId="2" fillId="0" borderId="7" xfId="20" applyNumberFormat="1" applyFont="1" applyFill="1" applyBorder="1" applyAlignment="1">
      <alignment horizontal="right"/>
    </xf>
    <xf numFmtId="39" fontId="2" fillId="0" borderId="7" xfId="20" applyNumberFormat="1" applyFont="1" applyFill="1" applyBorder="1" applyAlignment="1">
      <alignment horizontal="right" wrapText="1"/>
    </xf>
    <xf numFmtId="43" fontId="1" fillId="0" borderId="8" xfId="20" applyFont="1" applyBorder="1" applyAlignment="1">
      <alignment horizontal="center" vertical="center"/>
    </xf>
    <xf numFmtId="43" fontId="7" fillId="0" borderId="8" xfId="20" applyFont="1" applyBorder="1" applyAlignment="1">
      <alignment horizontal="left" vertical="center" wrapText="1"/>
    </xf>
    <xf numFmtId="39" fontId="7" fillId="0" borderId="8" xfId="20" applyNumberFormat="1" applyFont="1" applyBorder="1" applyAlignment="1">
      <alignment horizontal="right" wrapText="1"/>
    </xf>
    <xf numFmtId="39" fontId="2" fillId="0" borderId="8" xfId="20" applyNumberFormat="1" applyFont="1" applyBorder="1" applyAlignment="1">
      <alignment horizontal="right"/>
    </xf>
    <xf numFmtId="39" fontId="7" fillId="0" borderId="9" xfId="20" applyNumberFormat="1" applyFont="1" applyBorder="1" applyAlignment="1">
      <alignment horizontal="right"/>
    </xf>
    <xf numFmtId="39" fontId="2" fillId="0" borderId="8" xfId="20" applyNumberFormat="1" applyFont="1" applyBorder="1" applyAlignment="1" applyProtection="1">
      <alignment horizontal="right"/>
      <protection/>
    </xf>
    <xf numFmtId="39" fontId="2" fillId="0" borderId="8" xfId="20" applyNumberFormat="1" applyFont="1" applyFill="1" applyBorder="1" applyAlignment="1">
      <alignment horizontal="right"/>
    </xf>
    <xf numFmtId="39" fontId="2" fillId="0" borderId="8" xfId="20" applyNumberFormat="1" applyFont="1" applyFill="1" applyBorder="1" applyAlignment="1">
      <alignment horizontal="right" wrapText="1"/>
    </xf>
    <xf numFmtId="43" fontId="1" fillId="0" borderId="7" xfId="20" applyFont="1" applyBorder="1" applyAlignment="1">
      <alignment horizontal="center" vertical="center"/>
    </xf>
    <xf numFmtId="43" fontId="7" fillId="0" borderId="7" xfId="20" applyFont="1" applyBorder="1" applyAlignment="1">
      <alignment horizontal="left" vertical="center" wrapText="1"/>
    </xf>
    <xf numFmtId="39" fontId="7" fillId="0" borderId="7" xfId="20" applyNumberFormat="1" applyFont="1" applyBorder="1" applyAlignment="1">
      <alignment horizontal="right" wrapText="1"/>
    </xf>
    <xf numFmtId="39" fontId="2" fillId="0" borderId="7" xfId="20" applyNumberFormat="1" applyFont="1" applyBorder="1" applyAlignment="1">
      <alignment horizontal="right"/>
    </xf>
    <xf numFmtId="39" fontId="2" fillId="0" borderId="7" xfId="20" applyNumberFormat="1" applyFont="1" applyBorder="1" applyAlignment="1" applyProtection="1">
      <alignment horizontal="right"/>
      <protection/>
    </xf>
    <xf numFmtId="43" fontId="1" fillId="0" borderId="10" xfId="20" applyFont="1" applyBorder="1" applyAlignment="1">
      <alignment horizontal="center" vertical="center"/>
    </xf>
    <xf numFmtId="43" fontId="7" fillId="0" borderId="10" xfId="20" applyFont="1" applyBorder="1" applyAlignment="1">
      <alignment horizontal="left" vertical="center" wrapText="1"/>
    </xf>
    <xf numFmtId="39" fontId="7" fillId="0" borderId="10" xfId="20" applyNumberFormat="1" applyFont="1" applyBorder="1" applyAlignment="1">
      <alignment horizontal="right" wrapText="1"/>
    </xf>
    <xf numFmtId="39" fontId="7" fillId="0" borderId="10" xfId="20" applyNumberFormat="1" applyFont="1" applyBorder="1" applyAlignment="1">
      <alignment horizontal="right"/>
    </xf>
    <xf numFmtId="43" fontId="1" fillId="3" borderId="11" xfId="20" applyFont="1" applyFill="1" applyBorder="1" applyAlignment="1">
      <alignment horizontal="center" vertical="center"/>
    </xf>
    <xf numFmtId="39" fontId="7" fillId="3" borderId="11" xfId="20" applyNumberFormat="1" applyFont="1" applyFill="1" applyBorder="1" applyAlignment="1">
      <alignment horizontal="right" wrapText="1"/>
    </xf>
    <xf numFmtId="43" fontId="2" fillId="0" borderId="0" xfId="20" applyFont="1" applyBorder="1" applyAlignment="1">
      <alignment horizontal="center" vertical="center"/>
    </xf>
    <xf numFmtId="43" fontId="2" fillId="0" borderId="0" xfId="20" applyFont="1" applyBorder="1" applyAlignment="1">
      <alignment horizontal="left" vertical="center" wrapText="1"/>
    </xf>
    <xf numFmtId="43" fontId="2" fillId="0" borderId="0" xfId="20" applyFont="1" applyBorder="1" applyAlignment="1">
      <alignment vertical="center" wrapText="1"/>
    </xf>
    <xf numFmtId="43" fontId="8" fillId="0" borderId="0" xfId="20" applyFont="1" applyBorder="1" applyAlignment="1">
      <alignment horizontal="center" vertical="center"/>
    </xf>
    <xf numFmtId="43" fontId="2" fillId="0" borderId="0" xfId="20" applyFont="1" applyBorder="1" applyAlignment="1" applyProtection="1">
      <alignment horizontal="center"/>
      <protection/>
    </xf>
    <xf numFmtId="43" fontId="13" fillId="2" borderId="12" xfId="20" applyFont="1" applyFill="1" applyBorder="1" applyAlignment="1" applyProtection="1">
      <alignment horizontal="center" vertical="center"/>
      <protection/>
    </xf>
    <xf numFmtId="43" fontId="14" fillId="2" borderId="13" xfId="20" applyFont="1" applyFill="1" applyBorder="1" applyAlignment="1" applyProtection="1">
      <alignment horizontal="center" vertical="center" wrapText="1" shrinkToFit="1"/>
      <protection/>
    </xf>
    <xf numFmtId="43" fontId="7" fillId="0" borderId="7" xfId="20" applyFont="1" applyBorder="1" applyAlignment="1">
      <alignment wrapText="1"/>
    </xf>
    <xf numFmtId="43" fontId="2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2" fillId="0" borderId="7" xfId="20" applyFont="1" applyBorder="1" applyAlignment="1" applyProtection="1">
      <alignment horizontal="center"/>
      <protection/>
    </xf>
    <xf numFmtId="43" fontId="2" fillId="0" borderId="7" xfId="20" applyFont="1" applyFill="1" applyBorder="1" applyAlignment="1">
      <alignment horizontal="right"/>
    </xf>
    <xf numFmtId="43" fontId="2" fillId="0" borderId="7" xfId="20" applyFont="1" applyFill="1" applyBorder="1" applyAlignment="1">
      <alignment horizontal="right" wrapText="1"/>
    </xf>
    <xf numFmtId="43" fontId="7" fillId="0" borderId="8" xfId="20" applyFont="1" applyBorder="1" applyAlignment="1">
      <alignment wrapText="1"/>
    </xf>
    <xf numFmtId="43" fontId="2" fillId="0" borderId="8" xfId="20" applyFont="1" applyBorder="1" applyAlignment="1">
      <alignment horizontal="center"/>
    </xf>
    <xf numFmtId="43" fontId="7" fillId="0" borderId="9" xfId="20" applyFont="1" applyBorder="1" applyAlignment="1">
      <alignment horizontal="center"/>
    </xf>
    <xf numFmtId="43" fontId="2" fillId="0" borderId="8" xfId="20" applyFont="1" applyBorder="1" applyAlignment="1" applyProtection="1">
      <alignment horizontal="center"/>
      <protection/>
    </xf>
    <xf numFmtId="43" fontId="2" fillId="0" borderId="8" xfId="20" applyFont="1" applyFill="1" applyBorder="1" applyAlignment="1">
      <alignment horizontal="right"/>
    </xf>
    <xf numFmtId="43" fontId="2" fillId="0" borderId="8" xfId="20" applyFont="1" applyFill="1" applyBorder="1" applyAlignment="1">
      <alignment horizontal="right" wrapText="1"/>
    </xf>
    <xf numFmtId="43" fontId="2" fillId="0" borderId="7" xfId="20" applyFont="1" applyBorder="1" applyAlignment="1">
      <alignment horizontal="center"/>
    </xf>
    <xf numFmtId="43" fontId="7" fillId="0" borderId="8" xfId="2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43" fontId="7" fillId="3" borderId="11" xfId="20" applyFont="1" applyFill="1" applyBorder="1" applyAlignment="1">
      <alignment horizontal="left" vertical="center" wrapText="1"/>
    </xf>
    <xf numFmtId="43" fontId="7" fillId="3" borderId="11" xfId="20" applyFont="1" applyFill="1" applyBorder="1" applyAlignment="1">
      <alignment wrapText="1"/>
    </xf>
    <xf numFmtId="43" fontId="7" fillId="3" borderId="11" xfId="20" applyFont="1" applyFill="1" applyBorder="1" applyAlignment="1">
      <alignment horizontal="left" wrapText="1"/>
    </xf>
    <xf numFmtId="43" fontId="7" fillId="0" borderId="0" xfId="20" applyFont="1" applyBorder="1" applyAlignment="1">
      <alignment horizontal="left" vertical="center" wrapText="1"/>
    </xf>
    <xf numFmtId="43" fontId="7" fillId="0" borderId="0" xfId="20" applyFont="1" applyBorder="1" applyAlignment="1">
      <alignment vertical="center" wrapText="1"/>
    </xf>
    <xf numFmtId="169" fontId="7" fillId="3" borderId="11" xfId="20" applyNumberFormat="1" applyFont="1" applyFill="1" applyBorder="1" applyAlignment="1">
      <alignment horizontal="right" wrapText="1"/>
    </xf>
    <xf numFmtId="43" fontId="13" fillId="2" borderId="1" xfId="20" applyFont="1" applyFill="1" applyBorder="1" applyAlignment="1" applyProtection="1">
      <alignment vertical="center"/>
      <protection/>
    </xf>
    <xf numFmtId="43" fontId="2" fillId="0" borderId="0" xfId="20" applyFont="1" applyAlignment="1">
      <alignment vertic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 vertical="center"/>
    </xf>
    <xf numFmtId="43" fontId="5" fillId="0" borderId="0" xfId="20" applyFont="1" applyAlignment="1">
      <alignment/>
    </xf>
    <xf numFmtId="43" fontId="2" fillId="0" borderId="14" xfId="20" applyFont="1" applyBorder="1" applyAlignment="1">
      <alignment horizontal="center"/>
    </xf>
    <xf numFmtId="43" fontId="2" fillId="0" borderId="15" xfId="20" applyFont="1" applyBorder="1" applyAlignment="1">
      <alignment horizontal="center"/>
    </xf>
    <xf numFmtId="43" fontId="2" fillId="0" borderId="0" xfId="20" applyFont="1" applyAlignment="1">
      <alignment horizontal="center"/>
    </xf>
    <xf numFmtId="39" fontId="2" fillId="0" borderId="10" xfId="20" applyNumberFormat="1" applyFont="1" applyBorder="1" applyAlignment="1">
      <alignment horizontal="right"/>
    </xf>
    <xf numFmtId="43" fontId="14" fillId="2" borderId="1" xfId="20" applyFont="1" applyFill="1" applyBorder="1" applyAlignment="1" applyProtection="1">
      <alignment horizontal="center" vertical="center" wrapText="1" shrinkToFit="1"/>
      <protection/>
    </xf>
    <xf numFmtId="39" fontId="2" fillId="0" borderId="0" xfId="20" applyNumberFormat="1" applyFont="1" applyBorder="1" applyAlignment="1">
      <alignment horizontal="right"/>
    </xf>
    <xf numFmtId="39" fontId="2" fillId="0" borderId="16" xfId="20" applyNumberFormat="1" applyFont="1" applyBorder="1" applyAlignment="1">
      <alignment horizontal="right"/>
    </xf>
    <xf numFmtId="169" fontId="7" fillId="3" borderId="17" xfId="20" applyNumberFormat="1" applyFont="1" applyFill="1" applyBorder="1" applyAlignment="1">
      <alignment horizontal="right" wrapText="1"/>
    </xf>
    <xf numFmtId="4" fontId="2" fillId="0" borderId="7" xfId="20" applyNumberFormat="1" applyFont="1" applyFill="1" applyBorder="1" applyAlignment="1">
      <alignment horizontal="right"/>
    </xf>
    <xf numFmtId="4" fontId="7" fillId="0" borderId="8" xfId="20" applyNumberFormat="1" applyFont="1" applyBorder="1" applyAlignment="1">
      <alignment wrapText="1"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7" fontId="1" fillId="0" borderId="20" xfId="0" applyNumberFormat="1" applyFont="1" applyBorder="1" applyAlignment="1">
      <alignment horizontal="center"/>
    </xf>
    <xf numFmtId="169" fontId="1" fillId="0" borderId="20" xfId="2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0" xfId="0" applyNumberFormat="1" applyBorder="1" applyAlignment="1">
      <alignment/>
    </xf>
    <xf numFmtId="39" fontId="0" fillId="0" borderId="20" xfId="0" applyNumberFormat="1" applyBorder="1" applyAlignment="1">
      <alignment/>
    </xf>
    <xf numFmtId="169" fontId="0" fillId="0" borderId="20" xfId="2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9" fontId="1" fillId="0" borderId="0" xfId="20" applyNumberFormat="1" applyFont="1" applyBorder="1" applyAlignment="1">
      <alignment/>
    </xf>
    <xf numFmtId="43" fontId="0" fillId="0" borderId="0" xfId="20" applyAlignment="1">
      <alignment/>
    </xf>
    <xf numFmtId="169" fontId="1" fillId="0" borderId="20" xfId="0" applyNumberFormat="1" applyFont="1" applyBorder="1" applyAlignment="1">
      <alignment/>
    </xf>
    <xf numFmtId="169" fontId="1" fillId="0" borderId="20" xfId="2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169" fontId="0" fillId="0" borderId="3" xfId="20" applyNumberFormat="1" applyBorder="1" applyAlignment="1">
      <alignment/>
    </xf>
    <xf numFmtId="4" fontId="1" fillId="0" borderId="22" xfId="0" applyNumberFormat="1" applyFont="1" applyBorder="1" applyAlignment="1">
      <alignment/>
    </xf>
    <xf numFmtId="169" fontId="1" fillId="0" borderId="22" xfId="2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2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" xfId="0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169" fontId="1" fillId="0" borderId="0" xfId="2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0" fillId="0" borderId="0" xfId="2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4" fontId="0" fillId="0" borderId="26" xfId="0" applyNumberFormat="1" applyBorder="1" applyAlignment="1">
      <alignment/>
    </xf>
    <xf numFmtId="169" fontId="0" fillId="0" borderId="26" xfId="20" applyNumberFormat="1" applyBorder="1" applyAlignment="1">
      <alignment/>
    </xf>
    <xf numFmtId="43" fontId="1" fillId="0" borderId="0" xfId="20" applyFont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20" xfId="0" applyNumberFormat="1" applyFont="1" applyBorder="1" applyAlignment="1">
      <alignment horizontal="center"/>
    </xf>
    <xf numFmtId="43" fontId="0" fillId="0" borderId="20" xfId="2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0" xfId="0" applyFont="1" applyBorder="1" applyAlignment="1">
      <alignment/>
    </xf>
    <xf numFmtId="169" fontId="0" fillId="0" borderId="20" xfId="2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9" fontId="0" fillId="0" borderId="26" xfId="0" applyNumberFormat="1" applyFont="1" applyBorder="1" applyAlignment="1">
      <alignment/>
    </xf>
    <xf numFmtId="39" fontId="0" fillId="0" borderId="26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39" fontId="0" fillId="0" borderId="22" xfId="0" applyNumberFormat="1" applyBorder="1" applyAlignment="1">
      <alignment/>
    </xf>
    <xf numFmtId="0" fontId="15" fillId="0" borderId="24" xfId="0" applyFont="1" applyBorder="1" applyAlignment="1">
      <alignment/>
    </xf>
    <xf numFmtId="4" fontId="15" fillId="0" borderId="20" xfId="0" applyNumberFormat="1" applyFont="1" applyBorder="1" applyAlignment="1">
      <alignment/>
    </xf>
    <xf numFmtId="169" fontId="16" fillId="0" borderId="20" xfId="2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39" fontId="16" fillId="0" borderId="2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4" fontId="16" fillId="0" borderId="26" xfId="0" applyNumberFormat="1" applyFont="1" applyBorder="1" applyAlignment="1">
      <alignment/>
    </xf>
    <xf numFmtId="0" fontId="16" fillId="0" borderId="26" xfId="0" applyFont="1" applyBorder="1" applyAlignment="1">
      <alignment/>
    </xf>
    <xf numFmtId="39" fontId="16" fillId="0" borderId="26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6" fillId="0" borderId="21" xfId="0" applyFont="1" applyBorder="1" applyAlignment="1">
      <alignment/>
    </xf>
    <xf numFmtId="4" fontId="16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20" applyFont="1" applyBorder="1" applyAlignment="1">
      <alignment/>
    </xf>
    <xf numFmtId="0" fontId="16" fillId="0" borderId="22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3" fontId="1" fillId="0" borderId="0" xfId="20" applyFont="1" applyBorder="1" applyAlignment="1">
      <alignment/>
    </xf>
    <xf numFmtId="17" fontId="1" fillId="0" borderId="31" xfId="0" applyNumberFormat="1" applyFont="1" applyBorder="1" applyAlignment="1">
      <alignment horizontal="center"/>
    </xf>
    <xf numFmtId="17" fontId="1" fillId="0" borderId="32" xfId="0" applyNumberFormat="1" applyFont="1" applyBorder="1" applyAlignment="1">
      <alignment horizontal="center"/>
    </xf>
    <xf numFmtId="169" fontId="1" fillId="0" borderId="24" xfId="2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169" fontId="0" fillId="0" borderId="24" xfId="20" applyNumberFormat="1" applyBorder="1" applyAlignment="1">
      <alignment/>
    </xf>
    <xf numFmtId="4" fontId="0" fillId="0" borderId="32" xfId="0" applyNumberFormat="1" applyFont="1" applyBorder="1" applyAlignment="1">
      <alignment/>
    </xf>
    <xf numFmtId="169" fontId="0" fillId="0" borderId="0" xfId="20" applyNumberFormat="1" applyAlignment="1">
      <alignment/>
    </xf>
    <xf numFmtId="43" fontId="1" fillId="0" borderId="0" xfId="20" applyFont="1" applyAlignment="1">
      <alignment/>
    </xf>
    <xf numFmtId="43" fontId="0" fillId="0" borderId="0" xfId="20" applyFont="1" applyAlignment="1">
      <alignment horizontal="left"/>
    </xf>
    <xf numFmtId="43" fontId="1" fillId="0" borderId="0" xfId="20" applyFont="1" applyBorder="1" applyAlignment="1">
      <alignment horizontal="center"/>
    </xf>
    <xf numFmtId="43" fontId="0" fillId="0" borderId="0" xfId="20" applyAlignment="1">
      <alignment/>
    </xf>
    <xf numFmtId="43" fontId="0" fillId="0" borderId="0" xfId="20" applyBorder="1" applyAlignment="1">
      <alignment/>
    </xf>
    <xf numFmtId="0" fontId="0" fillId="0" borderId="0" xfId="0" applyAlignment="1" quotePrefix="1">
      <alignment/>
    </xf>
    <xf numFmtId="0" fontId="0" fillId="0" borderId="28" xfId="0" applyFont="1" applyBorder="1" applyAlignment="1">
      <alignment/>
    </xf>
    <xf numFmtId="4" fontId="1" fillId="0" borderId="26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8" xfId="0" applyFont="1" applyBorder="1" applyAlignment="1">
      <alignment/>
    </xf>
    <xf numFmtId="39" fontId="15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3" fontId="5" fillId="0" borderId="0" xfId="20" applyFont="1" applyAlignment="1">
      <alignment horizontal="center"/>
    </xf>
    <xf numFmtId="43" fontId="1" fillId="0" borderId="0" xfId="2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609600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1"/>
  <sheetViews>
    <sheetView workbookViewId="0" topLeftCell="A492">
      <selection activeCell="B501" sqref="B501"/>
    </sheetView>
  </sheetViews>
  <sheetFormatPr defaultColWidth="9.140625" defaultRowHeight="12.75"/>
  <cols>
    <col min="1" max="1" width="18.57421875" style="0" customWidth="1"/>
    <col min="2" max="2" width="24.57421875" style="0" customWidth="1"/>
    <col min="3" max="3" width="14.8515625" style="0" hidden="1" customWidth="1"/>
    <col min="4" max="4" width="14.421875" style="0" hidden="1" customWidth="1"/>
    <col min="5" max="5" width="12.8515625" style="0" hidden="1" customWidth="1"/>
    <col min="6" max="6" width="13.00390625" style="0" hidden="1" customWidth="1"/>
    <col min="7" max="7" width="12.8515625" style="0" hidden="1" customWidth="1"/>
    <col min="8" max="13" width="14.421875" style="0" hidden="1" customWidth="1"/>
    <col min="14" max="14" width="14.421875" style="0" customWidth="1"/>
    <col min="15" max="15" width="13.421875" style="0" customWidth="1"/>
    <col min="16" max="16" width="15.421875" style="214" bestFit="1" customWidth="1"/>
    <col min="17" max="17" width="8.421875" style="0" customWidth="1"/>
    <col min="18" max="18" width="14.00390625" style="218" bestFit="1" customWidth="1"/>
    <col min="19" max="19" width="6.421875" style="0" customWidth="1"/>
    <col min="20" max="20" width="11.140625" style="0" customWidth="1"/>
    <col min="21" max="21" width="12.421875" style="0" customWidth="1"/>
  </cols>
  <sheetData>
    <row r="1" spans="1:18" ht="12.75">
      <c r="A1" s="101" t="s">
        <v>583</v>
      </c>
      <c r="B1" s="102"/>
      <c r="C1" s="101"/>
      <c r="D1" s="101"/>
      <c r="E1" s="101"/>
      <c r="F1" s="102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215"/>
    </row>
    <row r="2" spans="1:18" ht="12.75">
      <c r="A2" s="101"/>
      <c r="B2" s="102"/>
      <c r="C2" s="101"/>
      <c r="D2" s="101"/>
      <c r="E2" s="101"/>
      <c r="F2" s="102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15"/>
    </row>
    <row r="3" spans="1:18" s="103" customFormat="1" ht="12.75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16"/>
    </row>
    <row r="4" spans="1:18" s="103" customFormat="1" ht="13.5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216"/>
    </row>
    <row r="5" spans="1:19" s="111" customFormat="1" ht="13.5" thickBot="1">
      <c r="A5" s="106" t="s">
        <v>101</v>
      </c>
      <c r="B5" s="107" t="s">
        <v>102</v>
      </c>
      <c r="C5" s="108">
        <v>41640</v>
      </c>
      <c r="D5" s="108">
        <v>41671</v>
      </c>
      <c r="E5" s="108">
        <v>41699</v>
      </c>
      <c r="F5" s="108">
        <v>41730</v>
      </c>
      <c r="G5" s="108">
        <v>41760</v>
      </c>
      <c r="H5" s="108">
        <v>41791</v>
      </c>
      <c r="I5" s="108">
        <v>41821</v>
      </c>
      <c r="J5" s="108">
        <v>41852</v>
      </c>
      <c r="K5" s="108">
        <v>41883</v>
      </c>
      <c r="L5" s="108">
        <v>41913</v>
      </c>
      <c r="M5" s="108">
        <v>41944</v>
      </c>
      <c r="N5" s="108">
        <v>41974</v>
      </c>
      <c r="O5" s="108" t="s">
        <v>556</v>
      </c>
      <c r="P5" s="109" t="s">
        <v>557</v>
      </c>
      <c r="Q5" s="110"/>
      <c r="R5" s="217"/>
      <c r="S5" s="110"/>
    </row>
    <row r="6" spans="1:16" ht="12.75">
      <c r="A6" s="112"/>
      <c r="B6" s="113" t="s">
        <v>103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09"/>
    </row>
    <row r="7" spans="1:16" ht="12.75">
      <c r="A7" s="115"/>
      <c r="B7" s="116" t="s">
        <v>104</v>
      </c>
      <c r="C7" s="117">
        <f aca="true" t="shared" si="0" ref="C7:P7">SUM(C8:C8)</f>
        <v>48518933.02</v>
      </c>
      <c r="D7" s="117">
        <f t="shared" si="0"/>
        <v>34903394.58</v>
      </c>
      <c r="E7" s="117">
        <f t="shared" si="0"/>
        <v>34894999.16</v>
      </c>
      <c r="F7" s="117">
        <f t="shared" si="0"/>
        <v>34742089.2</v>
      </c>
      <c r="G7" s="117">
        <f t="shared" si="0"/>
        <v>40615936.56</v>
      </c>
      <c r="H7" s="117">
        <f t="shared" si="0"/>
        <v>34000522.6</v>
      </c>
      <c r="I7" s="117">
        <f t="shared" si="0"/>
        <v>33810472.09</v>
      </c>
      <c r="J7" s="117">
        <f t="shared" si="0"/>
        <v>34241647.47</v>
      </c>
      <c r="K7" s="117">
        <f t="shared" si="0"/>
        <v>33927640.05</v>
      </c>
      <c r="L7" s="117">
        <f t="shared" si="0"/>
        <v>34324942.57</v>
      </c>
      <c r="M7" s="117">
        <f t="shared" si="0"/>
        <v>50727810.95</v>
      </c>
      <c r="N7" s="117">
        <f t="shared" si="0"/>
        <v>33253852.44</v>
      </c>
      <c r="O7" s="117">
        <f t="shared" si="0"/>
        <v>0</v>
      </c>
      <c r="P7" s="117">
        <f t="shared" si="0"/>
        <v>447962240.68999994</v>
      </c>
    </row>
    <row r="8" spans="1:16" ht="12.75">
      <c r="A8" s="123" t="s">
        <v>2</v>
      </c>
      <c r="B8" s="124" t="s">
        <v>104</v>
      </c>
      <c r="C8" s="120">
        <v>48518933.02</v>
      </c>
      <c r="D8" s="120">
        <v>34903394.58</v>
      </c>
      <c r="E8" s="120">
        <v>34894999.16</v>
      </c>
      <c r="F8" s="120">
        <v>34742089.2</v>
      </c>
      <c r="G8" s="120">
        <v>40615936.56</v>
      </c>
      <c r="H8" s="120">
        <v>34000522.6</v>
      </c>
      <c r="I8" s="120">
        <v>33810472.09</v>
      </c>
      <c r="J8" s="120">
        <v>34241647.47</v>
      </c>
      <c r="K8" s="120">
        <v>33927640.05</v>
      </c>
      <c r="L8" s="120">
        <v>34324942.57</v>
      </c>
      <c r="M8" s="120">
        <v>50727810.95</v>
      </c>
      <c r="N8" s="120">
        <v>33253852.44</v>
      </c>
      <c r="O8" s="120">
        <v>0</v>
      </c>
      <c r="P8" s="122">
        <f>SUM(C8:O8)</f>
        <v>447962240.68999994</v>
      </c>
    </row>
    <row r="9" spans="1:16" ht="12.75">
      <c r="A9" s="115"/>
      <c r="B9" s="116" t="s">
        <v>105</v>
      </c>
      <c r="C9" s="117">
        <f aca="true" t="shared" si="1" ref="C9:P9">SUM(C10)</f>
        <v>271420.94</v>
      </c>
      <c r="D9" s="117">
        <f t="shared" si="1"/>
        <v>353204.18</v>
      </c>
      <c r="E9" s="117">
        <f t="shared" si="1"/>
        <v>133240.68</v>
      </c>
      <c r="F9" s="117">
        <f t="shared" si="1"/>
        <v>162963.43</v>
      </c>
      <c r="G9" s="117">
        <f t="shared" si="1"/>
        <v>133093.35</v>
      </c>
      <c r="H9" s="117">
        <f t="shared" si="1"/>
        <v>123976.77</v>
      </c>
      <c r="I9" s="117">
        <f t="shared" si="1"/>
        <v>240615.81</v>
      </c>
      <c r="J9" s="117">
        <f t="shared" si="1"/>
        <v>169673.82</v>
      </c>
      <c r="K9" s="117">
        <f t="shared" si="1"/>
        <v>186973.4</v>
      </c>
      <c r="L9" s="117">
        <f t="shared" si="1"/>
        <v>195802.89</v>
      </c>
      <c r="M9" s="117">
        <f t="shared" si="1"/>
        <v>181866</v>
      </c>
      <c r="N9" s="117">
        <f t="shared" si="1"/>
        <v>221632.39</v>
      </c>
      <c r="O9" s="117">
        <f t="shared" si="1"/>
        <v>0</v>
      </c>
      <c r="P9" s="117">
        <f t="shared" si="1"/>
        <v>2374463.66</v>
      </c>
    </row>
    <row r="10" spans="1:18" s="125" customFormat="1" ht="12.75">
      <c r="A10" s="118"/>
      <c r="B10" s="119" t="s">
        <v>105</v>
      </c>
      <c r="C10" s="120">
        <v>271420.94</v>
      </c>
      <c r="D10" s="120">
        <v>353204.18</v>
      </c>
      <c r="E10" s="120">
        <v>133240.68</v>
      </c>
      <c r="F10" s="120">
        <v>162963.43</v>
      </c>
      <c r="G10" s="120">
        <v>133093.35</v>
      </c>
      <c r="H10" s="120">
        <v>123976.77</v>
      </c>
      <c r="I10" s="120">
        <v>240615.81</v>
      </c>
      <c r="J10" s="120">
        <v>169673.82</v>
      </c>
      <c r="K10" s="120">
        <v>186973.4</v>
      </c>
      <c r="L10" s="120">
        <v>195802.89</v>
      </c>
      <c r="M10" s="120">
        <v>181866</v>
      </c>
      <c r="N10" s="120">
        <v>221632.39</v>
      </c>
      <c r="O10" s="120">
        <v>0</v>
      </c>
      <c r="P10" s="122">
        <f>SUM(C10:O10)</f>
        <v>2374463.66</v>
      </c>
      <c r="R10" s="152"/>
    </row>
    <row r="11" spans="1:16" ht="12.75">
      <c r="A11" s="115"/>
      <c r="B11" s="116" t="s">
        <v>106</v>
      </c>
      <c r="C11" s="117">
        <f>SUM(C12)</f>
        <v>0</v>
      </c>
      <c r="D11" s="117">
        <f>SUM(D12)</f>
        <v>0</v>
      </c>
      <c r="E11" s="117">
        <f>SUM(E12)</f>
        <v>0</v>
      </c>
      <c r="F11" s="117">
        <f aca="true" t="shared" si="2" ref="F11:P11">SUM(F12)</f>
        <v>0</v>
      </c>
      <c r="G11" s="117">
        <f t="shared" si="2"/>
        <v>0</v>
      </c>
      <c r="H11" s="117">
        <f t="shared" si="2"/>
        <v>0</v>
      </c>
      <c r="I11" s="117">
        <f t="shared" si="2"/>
        <v>0</v>
      </c>
      <c r="J11" s="117">
        <f t="shared" si="2"/>
        <v>28534.16</v>
      </c>
      <c r="K11" s="117">
        <f t="shared" si="2"/>
        <v>6957.41</v>
      </c>
      <c r="L11" s="117">
        <f t="shared" si="2"/>
        <v>9063.1</v>
      </c>
      <c r="M11" s="117">
        <f t="shared" si="2"/>
        <v>21504.31</v>
      </c>
      <c r="N11" s="117">
        <f t="shared" si="2"/>
        <v>96112.28000000003</v>
      </c>
      <c r="O11" s="117">
        <f t="shared" si="2"/>
        <v>525761.15</v>
      </c>
      <c r="P11" s="117">
        <f t="shared" si="2"/>
        <v>687932.41</v>
      </c>
    </row>
    <row r="12" spans="1:16" ht="12.75">
      <c r="A12" s="115"/>
      <c r="B12" s="119" t="s">
        <v>107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28534.16</v>
      </c>
      <c r="K12" s="120">
        <v>6957.41</v>
      </c>
      <c r="L12" s="120">
        <v>9063.1</v>
      </c>
      <c r="M12" s="120">
        <v>21504.31</v>
      </c>
      <c r="N12" s="120">
        <f>621873.43-O12</f>
        <v>96112.28000000003</v>
      </c>
      <c r="O12" s="120">
        <f>435633.15+90128</f>
        <v>525761.15</v>
      </c>
      <c r="P12" s="122">
        <f>SUM(C12:O12)</f>
        <v>687932.41</v>
      </c>
    </row>
    <row r="13" spans="1:16" ht="12.75">
      <c r="A13" s="115"/>
      <c r="B13" s="116" t="s">
        <v>108</v>
      </c>
      <c r="C13" s="117">
        <f>SUM(C14:C16)</f>
        <v>138613.66</v>
      </c>
      <c r="D13" s="117">
        <f aca="true" t="shared" si="3" ref="D13:P13">SUM(D14:D16)</f>
        <v>168414.87</v>
      </c>
      <c r="E13" s="117">
        <f t="shared" si="3"/>
        <v>121910.54</v>
      </c>
      <c r="F13" s="117">
        <f t="shared" si="3"/>
        <v>76036.72</v>
      </c>
      <c r="G13" s="117">
        <f t="shared" si="3"/>
        <v>225323.61</v>
      </c>
      <c r="H13" s="117">
        <f t="shared" si="3"/>
        <v>48439.11</v>
      </c>
      <c r="I13" s="117">
        <f t="shared" si="3"/>
        <v>245119.52000000002</v>
      </c>
      <c r="J13" s="117">
        <f t="shared" si="3"/>
        <v>110169.66</v>
      </c>
      <c r="K13" s="117">
        <f t="shared" si="3"/>
        <v>86404.86</v>
      </c>
      <c r="L13" s="117">
        <f t="shared" si="3"/>
        <v>366464.63999999996</v>
      </c>
      <c r="M13" s="117">
        <f t="shared" si="3"/>
        <v>86466.64</v>
      </c>
      <c r="N13" s="117">
        <f t="shared" si="3"/>
        <v>124590.46000000002</v>
      </c>
      <c r="O13" s="117">
        <f t="shared" si="3"/>
        <v>172045.71</v>
      </c>
      <c r="P13" s="117">
        <f t="shared" si="3"/>
        <v>1970000</v>
      </c>
    </row>
    <row r="14" spans="1:16" ht="12.75">
      <c r="A14" s="115"/>
      <c r="B14" s="119" t="s">
        <v>109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2">
        <f>SUM(C14:O14)</f>
        <v>0</v>
      </c>
    </row>
    <row r="15" spans="1:16" ht="12.75">
      <c r="A15" s="115"/>
      <c r="B15" s="119" t="s">
        <v>514</v>
      </c>
      <c r="C15" s="120">
        <v>2535.37</v>
      </c>
      <c r="D15" s="120">
        <v>53298.56</v>
      </c>
      <c r="E15" s="120">
        <v>91800.59</v>
      </c>
      <c r="F15" s="120">
        <v>72944.51</v>
      </c>
      <c r="G15" s="120">
        <v>161963.31</v>
      </c>
      <c r="H15" s="120">
        <v>27389.4</v>
      </c>
      <c r="I15" s="120">
        <v>235193.6</v>
      </c>
      <c r="J15" s="120">
        <v>110169.66</v>
      </c>
      <c r="K15" s="120">
        <v>86404.86</v>
      </c>
      <c r="L15" s="120">
        <v>333335.16</v>
      </c>
      <c r="M15" s="120">
        <v>86466.64</v>
      </c>
      <c r="N15" s="120">
        <f>288498.34-O15</f>
        <v>124590.46000000002</v>
      </c>
      <c r="O15" s="120">
        <v>163907.88</v>
      </c>
      <c r="P15" s="122">
        <f>SUM(C15:O15)</f>
        <v>1550000</v>
      </c>
    </row>
    <row r="16" spans="1:16" ht="12.75">
      <c r="A16" s="118"/>
      <c r="B16" s="119" t="s">
        <v>558</v>
      </c>
      <c r="C16" s="120">
        <v>136078.29</v>
      </c>
      <c r="D16" s="120">
        <v>115116.31</v>
      </c>
      <c r="E16" s="120">
        <v>30109.95</v>
      </c>
      <c r="F16" s="120">
        <v>3092.21</v>
      </c>
      <c r="G16" s="120">
        <v>63360.3</v>
      </c>
      <c r="H16" s="120">
        <v>21049.71</v>
      </c>
      <c r="I16" s="120">
        <v>9925.92</v>
      </c>
      <c r="J16" s="120">
        <v>0</v>
      </c>
      <c r="K16" s="120">
        <v>0</v>
      </c>
      <c r="L16" s="120">
        <v>33129.48</v>
      </c>
      <c r="M16" s="120">
        <v>0</v>
      </c>
      <c r="N16" s="120">
        <f>8137.83-O16</f>
        <v>0</v>
      </c>
      <c r="O16" s="120">
        <v>8137.83</v>
      </c>
      <c r="P16" s="122">
        <f>SUM(C16:O16)</f>
        <v>420000</v>
      </c>
    </row>
    <row r="17" spans="1:16" ht="13.5" thickBot="1">
      <c r="A17" s="126"/>
      <c r="B17" s="116" t="s">
        <v>110</v>
      </c>
      <c r="C17" s="117">
        <f>SUM(C7+C9+C11+C13)</f>
        <v>48928967.62</v>
      </c>
      <c r="D17" s="117">
        <f aca="true" t="shared" si="4" ref="D17:P17">SUM(D7+D9+D11+D13)</f>
        <v>35425013.629999995</v>
      </c>
      <c r="E17" s="117">
        <f t="shared" si="4"/>
        <v>35150150.379999995</v>
      </c>
      <c r="F17" s="117">
        <f t="shared" si="4"/>
        <v>34981089.35</v>
      </c>
      <c r="G17" s="117">
        <f t="shared" si="4"/>
        <v>40974353.52</v>
      </c>
      <c r="H17" s="117">
        <f t="shared" si="4"/>
        <v>34172938.480000004</v>
      </c>
      <c r="I17" s="117">
        <f t="shared" si="4"/>
        <v>34296207.42000001</v>
      </c>
      <c r="J17" s="117">
        <f t="shared" si="4"/>
        <v>34550025.10999999</v>
      </c>
      <c r="K17" s="117">
        <f t="shared" si="4"/>
        <v>34207975.71999999</v>
      </c>
      <c r="L17" s="117">
        <f t="shared" si="4"/>
        <v>34896273.2</v>
      </c>
      <c r="M17" s="117">
        <f t="shared" si="4"/>
        <v>51017647.900000006</v>
      </c>
      <c r="N17" s="117">
        <f t="shared" si="4"/>
        <v>33696187.57</v>
      </c>
      <c r="O17" s="117">
        <f t="shared" si="4"/>
        <v>697806.86</v>
      </c>
      <c r="P17" s="117">
        <f t="shared" si="4"/>
        <v>452994636.76</v>
      </c>
    </row>
    <row r="18" spans="1:20" ht="13.5" thickBot="1">
      <c r="A18" s="127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  <c r="T18" s="130"/>
    </row>
    <row r="19" spans="1:20" ht="12.75">
      <c r="A19" s="112"/>
      <c r="B19" s="116" t="s">
        <v>111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T19" s="130"/>
    </row>
    <row r="20" spans="1:20" ht="12.75">
      <c r="A20" s="115"/>
      <c r="B20" s="116" t="s">
        <v>112</v>
      </c>
      <c r="C20" s="117">
        <f aca="true" t="shared" si="5" ref="C20:P20">SUM(C21:C21)</f>
        <v>10693448.84</v>
      </c>
      <c r="D20" s="117">
        <f t="shared" si="5"/>
        <v>10626689.57</v>
      </c>
      <c r="E20" s="117">
        <f t="shared" si="5"/>
        <v>10642121.78</v>
      </c>
      <c r="F20" s="117">
        <f t="shared" si="5"/>
        <v>10635346.73</v>
      </c>
      <c r="G20" s="117">
        <f t="shared" si="5"/>
        <v>15830984.16</v>
      </c>
      <c r="H20" s="117">
        <f t="shared" si="5"/>
        <v>10809682.84</v>
      </c>
      <c r="I20" s="117">
        <f t="shared" si="5"/>
        <v>10778065.64</v>
      </c>
      <c r="J20" s="117">
        <f t="shared" si="5"/>
        <v>10895303.45</v>
      </c>
      <c r="K20" s="117">
        <f t="shared" si="5"/>
        <v>11111371.85</v>
      </c>
      <c r="L20" s="117">
        <f t="shared" si="5"/>
        <v>10920844.1</v>
      </c>
      <c r="M20" s="117">
        <f t="shared" si="5"/>
        <v>16351459.82</v>
      </c>
      <c r="N20" s="117">
        <f t="shared" si="5"/>
        <v>10845506.74</v>
      </c>
      <c r="O20" s="117">
        <f t="shared" si="5"/>
        <v>0</v>
      </c>
      <c r="P20" s="131">
        <f t="shared" si="5"/>
        <v>140140825.52</v>
      </c>
      <c r="T20" s="130"/>
    </row>
    <row r="21" spans="1:20" ht="12.75">
      <c r="A21" s="115"/>
      <c r="B21" s="119" t="s">
        <v>112</v>
      </c>
      <c r="C21" s="120">
        <v>10693448.84</v>
      </c>
      <c r="D21" s="120">
        <v>10626689.57</v>
      </c>
      <c r="E21" s="120">
        <v>10642121.78</v>
      </c>
      <c r="F21" s="120">
        <v>10635346.73</v>
      </c>
      <c r="G21" s="120">
        <v>15830984.16</v>
      </c>
      <c r="H21" s="120">
        <v>10809682.84</v>
      </c>
      <c r="I21" s="120">
        <v>10778065.64</v>
      </c>
      <c r="J21" s="120">
        <v>10895303.45</v>
      </c>
      <c r="K21" s="120">
        <v>11111371.85</v>
      </c>
      <c r="L21" s="120">
        <v>10920844.1</v>
      </c>
      <c r="M21" s="120">
        <v>16351459.82</v>
      </c>
      <c r="N21" s="120">
        <v>10845506.74</v>
      </c>
      <c r="O21" s="120">
        <v>0</v>
      </c>
      <c r="P21" s="122">
        <f>SUM(C21:O21)</f>
        <v>140140825.52</v>
      </c>
      <c r="T21" s="130"/>
    </row>
    <row r="22" spans="1:20" ht="12.75">
      <c r="A22" s="115"/>
      <c r="B22" s="116" t="s">
        <v>113</v>
      </c>
      <c r="C22" s="117">
        <f aca="true" t="shared" si="6" ref="C22:P22">SUM(C23:C23)</f>
        <v>3668246.79</v>
      </c>
      <c r="D22" s="117">
        <f t="shared" si="6"/>
        <v>3746602.1</v>
      </c>
      <c r="E22" s="117">
        <f t="shared" si="6"/>
        <v>3759426.03</v>
      </c>
      <c r="F22" s="117">
        <f t="shared" si="6"/>
        <v>3719482.11</v>
      </c>
      <c r="G22" s="117">
        <f t="shared" si="6"/>
        <v>5525100.89</v>
      </c>
      <c r="H22" s="117">
        <f t="shared" si="6"/>
        <v>3936209.82</v>
      </c>
      <c r="I22" s="117">
        <f t="shared" si="6"/>
        <v>3796038.4</v>
      </c>
      <c r="J22" s="117">
        <f t="shared" si="6"/>
        <v>3794944.2</v>
      </c>
      <c r="K22" s="117">
        <f t="shared" si="6"/>
        <v>3819745.11</v>
      </c>
      <c r="L22" s="117">
        <f t="shared" si="6"/>
        <v>3812096.43</v>
      </c>
      <c r="M22" s="117">
        <f t="shared" si="6"/>
        <v>5989347.45</v>
      </c>
      <c r="N22" s="117">
        <f t="shared" si="6"/>
        <v>3759238.48</v>
      </c>
      <c r="O22" s="117">
        <f t="shared" si="6"/>
        <v>0</v>
      </c>
      <c r="P22" s="131">
        <f t="shared" si="6"/>
        <v>49326477.809999995</v>
      </c>
      <c r="T22" s="130"/>
    </row>
    <row r="23" spans="1:20" ht="12.75">
      <c r="A23" s="115"/>
      <c r="B23" s="119" t="s">
        <v>113</v>
      </c>
      <c r="C23" s="120">
        <v>3668246.79</v>
      </c>
      <c r="D23" s="120">
        <v>3746602.1</v>
      </c>
      <c r="E23" s="120">
        <v>3759426.03</v>
      </c>
      <c r="F23" s="120">
        <v>3719482.11</v>
      </c>
      <c r="G23" s="120">
        <v>5525100.89</v>
      </c>
      <c r="H23" s="120">
        <v>3936209.82</v>
      </c>
      <c r="I23" s="120">
        <v>3796038.4</v>
      </c>
      <c r="J23" s="120">
        <v>3794944.2</v>
      </c>
      <c r="K23" s="120">
        <v>3819745.11</v>
      </c>
      <c r="L23" s="120">
        <v>3812096.43</v>
      </c>
      <c r="M23" s="120">
        <v>5989347.45</v>
      </c>
      <c r="N23" s="120">
        <v>3759238.48</v>
      </c>
      <c r="O23" s="120">
        <v>0</v>
      </c>
      <c r="P23" s="122">
        <f>SUM(C23:O23)</f>
        <v>49326477.809999995</v>
      </c>
      <c r="T23" s="130"/>
    </row>
    <row r="24" spans="1:20" ht="12.75">
      <c r="A24" s="123" t="s">
        <v>3</v>
      </c>
      <c r="B24" s="116" t="s">
        <v>106</v>
      </c>
      <c r="C24" s="117">
        <f>SUM(C26:C29)</f>
        <v>0</v>
      </c>
      <c r="D24" s="117">
        <f>SUM(D26:D29)</f>
        <v>0</v>
      </c>
      <c r="E24" s="117">
        <f>SUM(E26:E29)</f>
        <v>0</v>
      </c>
      <c r="F24" s="117">
        <f aca="true" t="shared" si="7" ref="F24:P24">SUM(F25:F29)</f>
        <v>0</v>
      </c>
      <c r="G24" s="117">
        <f t="shared" si="7"/>
        <v>0</v>
      </c>
      <c r="H24" s="117">
        <f t="shared" si="7"/>
        <v>0</v>
      </c>
      <c r="I24" s="117">
        <f>SUM(I25:I29)</f>
        <v>0</v>
      </c>
      <c r="J24" s="117">
        <f t="shared" si="7"/>
        <v>18780.55</v>
      </c>
      <c r="K24" s="117">
        <f t="shared" si="7"/>
        <v>0</v>
      </c>
      <c r="L24" s="117">
        <f t="shared" si="7"/>
        <v>0</v>
      </c>
      <c r="M24" s="117">
        <f t="shared" si="7"/>
        <v>0</v>
      </c>
      <c r="N24" s="117">
        <f t="shared" si="7"/>
        <v>895176.9500000001</v>
      </c>
      <c r="O24" s="117">
        <f t="shared" si="7"/>
        <v>892042.17</v>
      </c>
      <c r="P24" s="117">
        <f t="shared" si="7"/>
        <v>1805999.6700000002</v>
      </c>
      <c r="T24" s="130"/>
    </row>
    <row r="25" spans="1:20" ht="12.75">
      <c r="A25" s="115"/>
      <c r="B25" s="119" t="s">
        <v>114</v>
      </c>
      <c r="C25" s="120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18780.55</v>
      </c>
      <c r="K25" s="133">
        <v>0</v>
      </c>
      <c r="L25" s="133">
        <v>0</v>
      </c>
      <c r="M25" s="133">
        <v>0</v>
      </c>
      <c r="N25" s="133">
        <f>1787219.12-O25</f>
        <v>895176.9500000001</v>
      </c>
      <c r="O25" s="133">
        <v>892042.17</v>
      </c>
      <c r="P25" s="163">
        <f>SUM(C25:O25)</f>
        <v>1805999.6700000002</v>
      </c>
      <c r="Q25" s="103"/>
      <c r="T25" s="130"/>
    </row>
    <row r="26" spans="1:20" ht="12.75">
      <c r="A26" s="115"/>
      <c r="B26" s="119" t="s">
        <v>115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2">
        <f>SUM(C26:O26)</f>
        <v>0</v>
      </c>
      <c r="T26" s="130"/>
    </row>
    <row r="27" spans="1:20" ht="12.75">
      <c r="A27" s="115"/>
      <c r="B27" s="119" t="s">
        <v>116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2">
        <f>SUM(C27:O27)</f>
        <v>0</v>
      </c>
      <c r="T27" s="130"/>
    </row>
    <row r="28" spans="1:20" ht="12.75">
      <c r="A28" s="115"/>
      <c r="B28" s="119" t="s">
        <v>117</v>
      </c>
      <c r="C28" s="120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2">
        <f>SUM(C28:O28)</f>
        <v>0</v>
      </c>
      <c r="T28" s="130"/>
    </row>
    <row r="29" spans="1:20" ht="12.75">
      <c r="A29" s="115"/>
      <c r="B29" s="119" t="s">
        <v>118</v>
      </c>
      <c r="C29" s="120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2">
        <f>SUM(C29:O29)</f>
        <v>0</v>
      </c>
      <c r="T29" s="130"/>
    </row>
    <row r="30" spans="1:20" ht="13.5" thickBot="1">
      <c r="A30" s="126"/>
      <c r="B30" s="116" t="s">
        <v>119</v>
      </c>
      <c r="C30" s="117">
        <f>C20+C22+C24</f>
        <v>14361695.629999999</v>
      </c>
      <c r="D30" s="117">
        <f aca="true" t="shared" si="8" ref="D30:P30">D20+D22+D24</f>
        <v>14373291.67</v>
      </c>
      <c r="E30" s="117">
        <f t="shared" si="8"/>
        <v>14401547.809999999</v>
      </c>
      <c r="F30" s="117">
        <f t="shared" si="8"/>
        <v>14354828.84</v>
      </c>
      <c r="G30" s="117">
        <f t="shared" si="8"/>
        <v>21356085.05</v>
      </c>
      <c r="H30" s="117">
        <f t="shared" si="8"/>
        <v>14745892.66</v>
      </c>
      <c r="I30" s="117">
        <f t="shared" si="8"/>
        <v>14574104.040000001</v>
      </c>
      <c r="J30" s="117">
        <f t="shared" si="8"/>
        <v>14709028.2</v>
      </c>
      <c r="K30" s="117">
        <f t="shared" si="8"/>
        <v>14931116.959999999</v>
      </c>
      <c r="L30" s="117">
        <f t="shared" si="8"/>
        <v>14732940.53</v>
      </c>
      <c r="M30" s="117">
        <f t="shared" si="8"/>
        <v>22340807.27</v>
      </c>
      <c r="N30" s="117">
        <f t="shared" si="8"/>
        <v>15499922.17</v>
      </c>
      <c r="O30" s="117">
        <f t="shared" si="8"/>
        <v>892042.17</v>
      </c>
      <c r="P30" s="117">
        <f t="shared" si="8"/>
        <v>191273303</v>
      </c>
      <c r="T30" s="130"/>
    </row>
    <row r="31" spans="1:20" ht="13.5" thickBot="1">
      <c r="A31" s="127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T31" s="130"/>
    </row>
    <row r="32" spans="1:20" ht="12.75">
      <c r="A32" s="112"/>
      <c r="B32" s="116" t="s">
        <v>120</v>
      </c>
      <c r="C32" s="108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32"/>
      <c r="T32" s="130"/>
    </row>
    <row r="33" spans="1:20" ht="12.75">
      <c r="A33" s="115"/>
      <c r="B33" s="116" t="s">
        <v>573</v>
      </c>
      <c r="C33" s="108"/>
      <c r="D33" s="117"/>
      <c r="E33" s="117"/>
      <c r="F33" s="117"/>
      <c r="G33" s="117"/>
      <c r="H33" s="117"/>
      <c r="I33" s="117"/>
      <c r="J33" s="117">
        <f aca="true" t="shared" si="9" ref="J33:O33">SUM(J34)</f>
        <v>0</v>
      </c>
      <c r="K33" s="117">
        <f t="shared" si="9"/>
        <v>480.38</v>
      </c>
      <c r="L33" s="117">
        <f t="shared" si="9"/>
        <v>480.38</v>
      </c>
      <c r="M33" s="117">
        <f t="shared" si="9"/>
        <v>295.1</v>
      </c>
      <c r="N33" s="117">
        <f t="shared" si="9"/>
        <v>295.1</v>
      </c>
      <c r="O33" s="117">
        <f t="shared" si="9"/>
        <v>0</v>
      </c>
      <c r="P33" s="117">
        <f>SUM(P34:P34)</f>
        <v>1550.96</v>
      </c>
      <c r="T33" s="130"/>
    </row>
    <row r="34" spans="1:20" ht="12.75">
      <c r="A34" s="115"/>
      <c r="B34" s="119" t="s">
        <v>574</v>
      </c>
      <c r="C34" s="108"/>
      <c r="D34" s="117"/>
      <c r="E34" s="117"/>
      <c r="F34" s="117"/>
      <c r="G34" s="117"/>
      <c r="H34" s="117"/>
      <c r="I34" s="117"/>
      <c r="J34" s="133"/>
      <c r="K34" s="133">
        <v>480.38</v>
      </c>
      <c r="L34" s="133">
        <v>480.38</v>
      </c>
      <c r="M34" s="133">
        <v>295.1</v>
      </c>
      <c r="N34" s="133">
        <v>295.1</v>
      </c>
      <c r="O34" s="133"/>
      <c r="P34" s="122">
        <f>SUM(C34:O34)</f>
        <v>1550.96</v>
      </c>
      <c r="T34" s="130"/>
    </row>
    <row r="35" spans="1:20" ht="12.75">
      <c r="A35" s="115"/>
      <c r="B35" s="116" t="s">
        <v>121</v>
      </c>
      <c r="C35" s="117">
        <f aca="true" t="shared" si="10" ref="C35:P35">SUM(C36:C36)</f>
        <v>0</v>
      </c>
      <c r="D35" s="117">
        <f t="shared" si="10"/>
        <v>0</v>
      </c>
      <c r="E35" s="117">
        <f t="shared" si="10"/>
        <v>0</v>
      </c>
      <c r="F35" s="117">
        <f t="shared" si="10"/>
        <v>0</v>
      </c>
      <c r="G35" s="117">
        <f t="shared" si="10"/>
        <v>0</v>
      </c>
      <c r="H35" s="117">
        <f t="shared" si="10"/>
        <v>0</v>
      </c>
      <c r="I35" s="117">
        <f t="shared" si="10"/>
        <v>0</v>
      </c>
      <c r="J35" s="117">
        <f t="shared" si="10"/>
        <v>0</v>
      </c>
      <c r="K35" s="117">
        <f t="shared" si="10"/>
        <v>0</v>
      </c>
      <c r="L35" s="117">
        <f t="shared" si="10"/>
        <v>0</v>
      </c>
      <c r="M35" s="117">
        <f t="shared" si="10"/>
        <v>0</v>
      </c>
      <c r="N35" s="117">
        <f t="shared" si="10"/>
        <v>0</v>
      </c>
      <c r="O35" s="117">
        <f t="shared" si="10"/>
        <v>0</v>
      </c>
      <c r="P35" s="117">
        <f t="shared" si="10"/>
        <v>0</v>
      </c>
      <c r="T35" s="130"/>
    </row>
    <row r="36" spans="1:20" ht="12.75">
      <c r="A36" s="123" t="s">
        <v>4</v>
      </c>
      <c r="B36" s="119" t="s">
        <v>121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2">
        <f>SUM(C36:O36)</f>
        <v>0</v>
      </c>
      <c r="T36" s="130"/>
    </row>
    <row r="37" spans="1:20" ht="12.75">
      <c r="A37" s="123"/>
      <c r="B37" s="116" t="s">
        <v>122</v>
      </c>
      <c r="C37" s="117">
        <f aca="true" t="shared" si="11" ref="C37:P37">SUM(C38:C38)</f>
        <v>6510426.09</v>
      </c>
      <c r="D37" s="117">
        <f t="shared" si="11"/>
        <v>6469833.42</v>
      </c>
      <c r="E37" s="117">
        <f t="shared" si="11"/>
        <v>6454617.75</v>
      </c>
      <c r="F37" s="117">
        <f t="shared" si="11"/>
        <v>6437335.72</v>
      </c>
      <c r="G37" s="117">
        <f t="shared" si="11"/>
        <v>6424592.22</v>
      </c>
      <c r="H37" s="117">
        <f t="shared" si="11"/>
        <v>6436665.38</v>
      </c>
      <c r="I37" s="117">
        <f t="shared" si="11"/>
        <v>6479011.57</v>
      </c>
      <c r="J37" s="117">
        <f t="shared" si="11"/>
        <v>6456336.07</v>
      </c>
      <c r="K37" s="117">
        <f t="shared" si="11"/>
        <v>6448041.53</v>
      </c>
      <c r="L37" s="117">
        <f t="shared" si="11"/>
        <v>6492487.95</v>
      </c>
      <c r="M37" s="117">
        <f t="shared" si="11"/>
        <v>12872069.01</v>
      </c>
      <c r="N37" s="117">
        <f t="shared" si="11"/>
        <v>6431576.88</v>
      </c>
      <c r="O37" s="117">
        <f t="shared" si="11"/>
        <v>0</v>
      </c>
      <c r="P37" s="117">
        <f t="shared" si="11"/>
        <v>83912993.59</v>
      </c>
      <c r="T37" s="130"/>
    </row>
    <row r="38" spans="1:20" ht="12.75">
      <c r="A38" s="123"/>
      <c r="B38" s="119" t="s">
        <v>122</v>
      </c>
      <c r="C38" s="120">
        <v>6510426.09</v>
      </c>
      <c r="D38" s="120">
        <v>6469833.42</v>
      </c>
      <c r="E38" s="120">
        <v>6454617.75</v>
      </c>
      <c r="F38" s="120">
        <v>6437335.72</v>
      </c>
      <c r="G38" s="120">
        <v>6424592.22</v>
      </c>
      <c r="H38" s="120">
        <v>6436665.38</v>
      </c>
      <c r="I38" s="120">
        <v>6479011.57</v>
      </c>
      <c r="J38" s="120">
        <v>6456336.07</v>
      </c>
      <c r="K38" s="120">
        <v>6448041.53</v>
      </c>
      <c r="L38" s="120">
        <v>6492487.95</v>
      </c>
      <c r="M38" s="120">
        <v>12872069.01</v>
      </c>
      <c r="N38" s="120">
        <v>6431576.88</v>
      </c>
      <c r="O38" s="120"/>
      <c r="P38" s="122">
        <f>SUM(C38:O38)</f>
        <v>83912993.59</v>
      </c>
      <c r="T38" s="130"/>
    </row>
    <row r="39" spans="1:20" ht="12.75">
      <c r="A39" s="115"/>
      <c r="B39" s="116" t="s">
        <v>123</v>
      </c>
      <c r="C39" s="117">
        <f aca="true" t="shared" si="12" ref="C39:P39">SUM(C40:C42)</f>
        <v>0</v>
      </c>
      <c r="D39" s="117">
        <f t="shared" si="12"/>
        <v>0</v>
      </c>
      <c r="E39" s="117">
        <f t="shared" si="12"/>
        <v>0</v>
      </c>
      <c r="F39" s="117">
        <f t="shared" si="12"/>
        <v>0</v>
      </c>
      <c r="G39" s="117">
        <f t="shared" si="12"/>
        <v>0</v>
      </c>
      <c r="H39" s="117">
        <f t="shared" si="12"/>
        <v>0</v>
      </c>
      <c r="I39" s="117">
        <f t="shared" si="12"/>
        <v>0</v>
      </c>
      <c r="J39" s="117">
        <f t="shared" si="12"/>
        <v>0</v>
      </c>
      <c r="K39" s="117">
        <f t="shared" si="12"/>
        <v>0</v>
      </c>
      <c r="L39" s="117">
        <f t="shared" si="12"/>
        <v>0</v>
      </c>
      <c r="M39" s="117">
        <f t="shared" si="12"/>
        <v>0</v>
      </c>
      <c r="N39" s="117">
        <f t="shared" si="12"/>
        <v>16616.5</v>
      </c>
      <c r="O39" s="117">
        <f t="shared" si="12"/>
        <v>251578.24</v>
      </c>
      <c r="P39" s="117">
        <f t="shared" si="12"/>
        <v>268194.74</v>
      </c>
      <c r="T39" s="130"/>
    </row>
    <row r="40" spans="1:20" ht="12.75">
      <c r="A40" s="115"/>
      <c r="B40" s="119" t="s">
        <v>124</v>
      </c>
      <c r="C40" s="120">
        <v>0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2">
        <f>SUM(C40:O40)</f>
        <v>0</v>
      </c>
      <c r="T40" s="130"/>
    </row>
    <row r="41" spans="1:20" ht="12.75">
      <c r="A41" s="115"/>
      <c r="B41" s="119" t="s">
        <v>125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2">
        <f>SUM(C41:O41)</f>
        <v>0</v>
      </c>
      <c r="T41" s="130"/>
    </row>
    <row r="42" spans="1:20" ht="12.75">
      <c r="A42" s="115"/>
      <c r="B42" s="119" t="s">
        <v>126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f>268194.74-O42</f>
        <v>16616.5</v>
      </c>
      <c r="O42" s="120">
        <v>251578.24</v>
      </c>
      <c r="P42" s="122">
        <f>SUM(C42:O42)</f>
        <v>268194.74</v>
      </c>
      <c r="T42" s="130"/>
    </row>
    <row r="43" spans="1:20" ht="13.5" thickBot="1">
      <c r="A43" s="126"/>
      <c r="B43" s="116" t="s">
        <v>127</v>
      </c>
      <c r="C43" s="117">
        <f aca="true" t="shared" si="13" ref="C43:I43">C35+C37+C39</f>
        <v>6510426.09</v>
      </c>
      <c r="D43" s="117">
        <f t="shared" si="13"/>
        <v>6469833.42</v>
      </c>
      <c r="E43" s="117">
        <f t="shared" si="13"/>
        <v>6454617.75</v>
      </c>
      <c r="F43" s="117">
        <f t="shared" si="13"/>
        <v>6437335.72</v>
      </c>
      <c r="G43" s="117">
        <f t="shared" si="13"/>
        <v>6424592.22</v>
      </c>
      <c r="H43" s="117">
        <f t="shared" si="13"/>
        <v>6436665.38</v>
      </c>
      <c r="I43" s="117">
        <f t="shared" si="13"/>
        <v>6479011.57</v>
      </c>
      <c r="J43" s="117">
        <f>J35+J37+J39+J33</f>
        <v>6456336.07</v>
      </c>
      <c r="K43" s="117">
        <f aca="true" t="shared" si="14" ref="K43:P43">K35+K37+K39+K33</f>
        <v>6448521.91</v>
      </c>
      <c r="L43" s="117">
        <f t="shared" si="14"/>
        <v>6492968.33</v>
      </c>
      <c r="M43" s="117">
        <f t="shared" si="14"/>
        <v>12872364.11</v>
      </c>
      <c r="N43" s="117">
        <f t="shared" si="14"/>
        <v>6448488.4799999995</v>
      </c>
      <c r="O43" s="117">
        <f t="shared" si="14"/>
        <v>251578.24</v>
      </c>
      <c r="P43" s="117">
        <f t="shared" si="14"/>
        <v>84182739.28999999</v>
      </c>
      <c r="T43" s="130"/>
    </row>
    <row r="44" spans="1:20" ht="13.5" thickBot="1">
      <c r="A44" s="127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  <c r="T44" s="130"/>
    </row>
    <row r="45" spans="1:20" ht="13.5" thickBot="1">
      <c r="A45" s="112"/>
      <c r="B45" s="134" t="s">
        <v>128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6"/>
      <c r="T45" s="130"/>
    </row>
    <row r="46" spans="1:20" ht="12.75">
      <c r="A46" s="115"/>
      <c r="B46" s="113" t="s">
        <v>129</v>
      </c>
      <c r="C46" s="137">
        <f aca="true" t="shared" si="15" ref="C46:P46">SUM(C47:C53)</f>
        <v>0</v>
      </c>
      <c r="D46" s="137">
        <f t="shared" si="15"/>
        <v>0</v>
      </c>
      <c r="E46" s="137">
        <f t="shared" si="15"/>
        <v>0</v>
      </c>
      <c r="F46" s="137">
        <f t="shared" si="15"/>
        <v>151742.47</v>
      </c>
      <c r="G46" s="137">
        <f t="shared" si="15"/>
        <v>15840.56</v>
      </c>
      <c r="H46" s="137">
        <f t="shared" si="15"/>
        <v>0</v>
      </c>
      <c r="I46" s="137">
        <f t="shared" si="15"/>
        <v>0</v>
      </c>
      <c r="J46" s="137">
        <f t="shared" si="15"/>
        <v>10554.06</v>
      </c>
      <c r="K46" s="137">
        <f t="shared" si="15"/>
        <v>921300.28</v>
      </c>
      <c r="L46" s="137">
        <f t="shared" si="15"/>
        <v>854111.25</v>
      </c>
      <c r="M46" s="137">
        <f t="shared" si="15"/>
        <v>31120.06</v>
      </c>
      <c r="N46" s="137">
        <f t="shared" si="15"/>
        <v>73579.87999999999</v>
      </c>
      <c r="O46" s="137">
        <f t="shared" si="15"/>
        <v>0</v>
      </c>
      <c r="P46" s="138">
        <f t="shared" si="15"/>
        <v>2058248.5599999998</v>
      </c>
      <c r="T46" s="130"/>
    </row>
    <row r="47" spans="1:20" ht="12.75">
      <c r="A47" s="115"/>
      <c r="B47" s="119" t="s">
        <v>130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2">
        <f aca="true" t="shared" si="16" ref="P47:P53">SUM(C47:O47)</f>
        <v>0</v>
      </c>
      <c r="T47" s="130"/>
    </row>
    <row r="48" spans="1:20" ht="12.75">
      <c r="A48" s="123" t="s">
        <v>5</v>
      </c>
      <c r="B48" s="119" t="s">
        <v>131</v>
      </c>
      <c r="C48" s="120">
        <v>0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2">
        <f t="shared" si="16"/>
        <v>0</v>
      </c>
      <c r="T48" s="130"/>
    </row>
    <row r="49" spans="1:20" ht="12.75">
      <c r="A49" s="123"/>
      <c r="B49" s="119" t="s">
        <v>132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2">
        <f t="shared" si="16"/>
        <v>0</v>
      </c>
      <c r="T49" s="130"/>
    </row>
    <row r="50" spans="1:20" ht="12.75">
      <c r="A50" s="123"/>
      <c r="B50" s="119" t="s">
        <v>575</v>
      </c>
      <c r="C50" s="120"/>
      <c r="D50" s="120"/>
      <c r="E50" s="120"/>
      <c r="F50" s="120"/>
      <c r="G50" s="120"/>
      <c r="H50" s="120"/>
      <c r="I50" s="120"/>
      <c r="J50" s="120"/>
      <c r="K50" s="120">
        <v>0</v>
      </c>
      <c r="L50" s="120">
        <v>2374.65</v>
      </c>
      <c r="M50" s="120">
        <v>2374.65</v>
      </c>
      <c r="N50" s="120">
        <v>2374.65</v>
      </c>
      <c r="O50" s="120">
        <v>0</v>
      </c>
      <c r="P50" s="122">
        <f t="shared" si="16"/>
        <v>7123.950000000001</v>
      </c>
      <c r="T50" s="130"/>
    </row>
    <row r="51" spans="1:20" ht="12.75">
      <c r="A51" s="123"/>
      <c r="B51" s="119" t="s">
        <v>564</v>
      </c>
      <c r="C51" s="120"/>
      <c r="D51" s="120"/>
      <c r="E51" s="120">
        <v>0</v>
      </c>
      <c r="F51" s="120">
        <v>151742.47</v>
      </c>
      <c r="G51" s="120">
        <v>15840.56</v>
      </c>
      <c r="H51" s="120">
        <v>0</v>
      </c>
      <c r="I51" s="120">
        <v>0</v>
      </c>
      <c r="J51" s="120">
        <v>10554.06</v>
      </c>
      <c r="K51" s="120">
        <v>323211.28</v>
      </c>
      <c r="L51" s="120">
        <v>851736.6</v>
      </c>
      <c r="M51" s="120">
        <v>28745.41</v>
      </c>
      <c r="N51" s="120">
        <v>71205.23</v>
      </c>
      <c r="O51" s="120">
        <v>0</v>
      </c>
      <c r="P51" s="122">
        <f t="shared" si="16"/>
        <v>1453035.6099999999</v>
      </c>
      <c r="T51" s="130"/>
    </row>
    <row r="52" spans="1:20" ht="12.75">
      <c r="A52" s="123"/>
      <c r="B52" s="119" t="s">
        <v>515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598089</v>
      </c>
      <c r="L52" s="120">
        <v>0</v>
      </c>
      <c r="M52" s="120">
        <v>0</v>
      </c>
      <c r="N52" s="120">
        <v>0</v>
      </c>
      <c r="O52" s="120">
        <v>0</v>
      </c>
      <c r="P52" s="122">
        <f t="shared" si="16"/>
        <v>598089</v>
      </c>
      <c r="T52" s="130"/>
    </row>
    <row r="53" spans="1:20" ht="13.5" thickBot="1">
      <c r="A53" s="126"/>
      <c r="B53" s="119" t="s">
        <v>133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2">
        <f t="shared" si="16"/>
        <v>0</v>
      </c>
      <c r="T53" s="130"/>
    </row>
    <row r="54" spans="1:20" ht="13.5" thickBot="1">
      <c r="A54" s="127"/>
      <c r="B54" s="111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20"/>
      <c r="N54" s="139"/>
      <c r="O54" s="139"/>
      <c r="P54" s="140"/>
      <c r="T54" s="130"/>
    </row>
    <row r="55" spans="1:20" ht="13.5" thickBot="1">
      <c r="A55" s="141"/>
      <c r="B55" s="142" t="s">
        <v>134</v>
      </c>
      <c r="C55" s="143">
        <f aca="true" t="shared" si="17" ref="C55:P55">C17+C30+C43+C46</f>
        <v>69801089.34</v>
      </c>
      <c r="D55" s="143">
        <f t="shared" si="17"/>
        <v>56268138.72</v>
      </c>
      <c r="E55" s="143">
        <f t="shared" si="17"/>
        <v>56006315.94</v>
      </c>
      <c r="F55" s="143">
        <f t="shared" si="17"/>
        <v>55924996.379999995</v>
      </c>
      <c r="G55" s="143">
        <f t="shared" si="17"/>
        <v>68770871.35000001</v>
      </c>
      <c r="H55" s="143">
        <f t="shared" si="17"/>
        <v>55355496.52</v>
      </c>
      <c r="I55" s="143">
        <f t="shared" si="17"/>
        <v>55349323.03000001</v>
      </c>
      <c r="J55" s="143">
        <f t="shared" si="17"/>
        <v>55725943.43999999</v>
      </c>
      <c r="K55" s="143">
        <f t="shared" si="17"/>
        <v>56508914.86999999</v>
      </c>
      <c r="L55" s="143">
        <f t="shared" si="17"/>
        <v>56976293.31</v>
      </c>
      <c r="M55" s="143">
        <f t="shared" si="17"/>
        <v>86261939.34</v>
      </c>
      <c r="N55" s="143">
        <f t="shared" si="17"/>
        <v>55718178.1</v>
      </c>
      <c r="O55" s="143">
        <f t="shared" si="17"/>
        <v>1841427.27</v>
      </c>
      <c r="P55" s="143">
        <f t="shared" si="17"/>
        <v>730508927.6099999</v>
      </c>
      <c r="T55" s="130"/>
    </row>
    <row r="56" spans="1:20" ht="12.75">
      <c r="A56" s="127"/>
      <c r="B56" s="111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40"/>
      <c r="T56" s="130"/>
    </row>
    <row r="57" spans="1:20" ht="12.75">
      <c r="A57" s="104" t="s">
        <v>6</v>
      </c>
      <c r="B57" s="111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40"/>
      <c r="T57" s="130"/>
    </row>
    <row r="58" spans="1:20" ht="13.5" thickBot="1">
      <c r="A58" s="127"/>
      <c r="B58" s="111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44"/>
      <c r="O58" s="144"/>
      <c r="P58" s="145"/>
      <c r="Q58" s="111"/>
      <c r="R58" s="219"/>
      <c r="T58" s="130"/>
    </row>
    <row r="59" spans="1:21" ht="13.5" thickBot="1">
      <c r="A59" s="106" t="s">
        <v>101</v>
      </c>
      <c r="B59" s="146" t="s">
        <v>102</v>
      </c>
      <c r="C59" s="108">
        <v>41640</v>
      </c>
      <c r="D59" s="108">
        <v>41671</v>
      </c>
      <c r="E59" s="108">
        <v>41699</v>
      </c>
      <c r="F59" s="108">
        <v>41730</v>
      </c>
      <c r="G59" s="108">
        <v>41760</v>
      </c>
      <c r="H59" s="108">
        <v>41791</v>
      </c>
      <c r="I59" s="108">
        <v>41821</v>
      </c>
      <c r="J59" s="108">
        <v>41852</v>
      </c>
      <c r="K59" s="108">
        <v>41883</v>
      </c>
      <c r="L59" s="108">
        <v>41913</v>
      </c>
      <c r="M59" s="108">
        <v>41944</v>
      </c>
      <c r="N59" s="108">
        <v>41974</v>
      </c>
      <c r="O59" s="108" t="s">
        <v>556</v>
      </c>
      <c r="P59" s="109" t="s">
        <v>557</v>
      </c>
      <c r="Q59" s="111"/>
      <c r="R59" s="219"/>
      <c r="S59" s="111"/>
      <c r="T59" s="147"/>
      <c r="U59" s="111"/>
    </row>
    <row r="60" spans="1:20" ht="12.75">
      <c r="A60" s="112"/>
      <c r="B60" s="116" t="s">
        <v>135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08"/>
      <c r="N60" s="108"/>
      <c r="O60" s="108"/>
      <c r="P60" s="122"/>
      <c r="T60" s="130"/>
    </row>
    <row r="61" spans="1:20" ht="12.75">
      <c r="A61" s="115"/>
      <c r="B61" s="116" t="s">
        <v>136</v>
      </c>
      <c r="C61" s="117">
        <f>SUM(C62:C63)</f>
        <v>65143.340000000004</v>
      </c>
      <c r="D61" s="117">
        <f aca="true" t="shared" si="18" ref="D61:P61">SUM(D62:D63)</f>
        <v>103299.9</v>
      </c>
      <c r="E61" s="117">
        <f t="shared" si="18"/>
        <v>96868.26</v>
      </c>
      <c r="F61" s="117">
        <f t="shared" si="18"/>
        <v>104112.2</v>
      </c>
      <c r="G61" s="117">
        <f t="shared" si="18"/>
        <v>82091.61</v>
      </c>
      <c r="H61" s="117">
        <f t="shared" si="18"/>
        <v>117181.24</v>
      </c>
      <c r="I61" s="117">
        <f t="shared" si="18"/>
        <v>131591.29</v>
      </c>
      <c r="J61" s="117">
        <f t="shared" si="18"/>
        <v>82518.53</v>
      </c>
      <c r="K61" s="117">
        <f t="shared" si="18"/>
        <v>89821.05</v>
      </c>
      <c r="L61" s="117">
        <f t="shared" si="18"/>
        <v>102817.09</v>
      </c>
      <c r="M61" s="117">
        <f t="shared" si="18"/>
        <v>80706.91</v>
      </c>
      <c r="N61" s="117">
        <f t="shared" si="18"/>
        <v>96614.72000000003</v>
      </c>
      <c r="O61" s="117">
        <f t="shared" si="18"/>
        <v>268147.6</v>
      </c>
      <c r="P61" s="117">
        <f t="shared" si="18"/>
        <v>1420913.74</v>
      </c>
      <c r="T61" s="130"/>
    </row>
    <row r="62" spans="1:20" ht="12.75">
      <c r="A62" s="115"/>
      <c r="B62" s="119" t="s">
        <v>137</v>
      </c>
      <c r="C62" s="120">
        <v>65098.54</v>
      </c>
      <c r="D62" s="133">
        <v>103299.9</v>
      </c>
      <c r="E62" s="133">
        <v>96868.26</v>
      </c>
      <c r="F62" s="133">
        <v>104112.2</v>
      </c>
      <c r="G62" s="133">
        <v>82091.61</v>
      </c>
      <c r="H62" s="133">
        <v>117181.24</v>
      </c>
      <c r="I62" s="133">
        <v>131591.29</v>
      </c>
      <c r="J62" s="133">
        <v>82518.53</v>
      </c>
      <c r="K62" s="133">
        <v>89821.05</v>
      </c>
      <c r="L62" s="133">
        <v>102817.09</v>
      </c>
      <c r="M62" s="133">
        <v>80706.91</v>
      </c>
      <c r="N62" s="133">
        <f>364762.32-O62</f>
        <v>96614.72000000003</v>
      </c>
      <c r="O62" s="133">
        <v>268147.6</v>
      </c>
      <c r="P62" s="122">
        <f>SUM(C62:O62)</f>
        <v>1420868.94</v>
      </c>
      <c r="T62" s="130"/>
    </row>
    <row r="63" spans="1:20" ht="13.5" thickBot="1">
      <c r="A63" s="148" t="s">
        <v>2</v>
      </c>
      <c r="B63" s="119" t="s">
        <v>559</v>
      </c>
      <c r="C63" s="120">
        <v>44.8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/>
      <c r="P63" s="122">
        <f>SUM(C63:O63)</f>
        <v>44.8</v>
      </c>
      <c r="T63" s="130"/>
    </row>
    <row r="64" spans="1:20" s="111" customFormat="1" ht="13.5" thickBot="1">
      <c r="A64" s="127"/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40"/>
      <c r="R64" s="219"/>
      <c r="T64" s="147"/>
    </row>
    <row r="65" spans="1:20" ht="12.75">
      <c r="A65" s="112"/>
      <c r="B65" s="116" t="s">
        <v>138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22"/>
      <c r="T65" s="130"/>
    </row>
    <row r="66" spans="1:20" ht="12.75">
      <c r="A66" s="149"/>
      <c r="B66" s="116" t="s">
        <v>139</v>
      </c>
      <c r="C66" s="117">
        <f aca="true" t="shared" si="19" ref="C66:O66">SUM(C67:C67)</f>
        <v>1841288.17</v>
      </c>
      <c r="D66" s="117">
        <f t="shared" si="19"/>
        <v>1838499.79</v>
      </c>
      <c r="E66" s="117">
        <f t="shared" si="19"/>
        <v>1833480.12</v>
      </c>
      <c r="F66" s="117">
        <f t="shared" si="19"/>
        <v>2372409.93</v>
      </c>
      <c r="G66" s="117">
        <f t="shared" si="19"/>
        <v>1931915.79</v>
      </c>
      <c r="H66" s="117">
        <f t="shared" si="19"/>
        <v>1978949.17</v>
      </c>
      <c r="I66" s="117">
        <f t="shared" si="19"/>
        <v>1981072.8</v>
      </c>
      <c r="J66" s="117">
        <f t="shared" si="19"/>
        <v>1962444.7</v>
      </c>
      <c r="K66" s="117">
        <f t="shared" si="19"/>
        <v>1967074.95</v>
      </c>
      <c r="L66" s="117">
        <f t="shared" si="19"/>
        <v>1968050.22</v>
      </c>
      <c r="M66" s="117">
        <f t="shared" si="19"/>
        <v>1963504.28</v>
      </c>
      <c r="N66" s="117">
        <f t="shared" si="19"/>
        <v>1961077.5</v>
      </c>
      <c r="O66" s="117">
        <f t="shared" si="19"/>
        <v>267873.58</v>
      </c>
      <c r="P66" s="129">
        <f>SUM(P67)</f>
        <v>23867641</v>
      </c>
      <c r="T66" s="130"/>
    </row>
    <row r="67" spans="1:20" ht="12.75">
      <c r="A67" s="123"/>
      <c r="B67" s="119" t="s">
        <v>140</v>
      </c>
      <c r="C67" s="150">
        <v>1841288.17</v>
      </c>
      <c r="D67" s="150">
        <v>1838499.79</v>
      </c>
      <c r="E67" s="150">
        <v>1833480.12</v>
      </c>
      <c r="F67" s="139">
        <v>2372409.93</v>
      </c>
      <c r="G67" s="150">
        <v>1931915.79</v>
      </c>
      <c r="H67" s="150">
        <v>1978949.17</v>
      </c>
      <c r="I67" s="150">
        <v>1981072.8</v>
      </c>
      <c r="J67" s="150">
        <v>1962444.7</v>
      </c>
      <c r="K67" s="150">
        <v>1967074.95</v>
      </c>
      <c r="L67" s="150">
        <v>1968050.22</v>
      </c>
      <c r="M67" s="150">
        <v>1963504.28</v>
      </c>
      <c r="N67" s="150">
        <f>2228951.08-O67</f>
        <v>1961077.5</v>
      </c>
      <c r="O67" s="150">
        <v>267873.58</v>
      </c>
      <c r="P67" s="151">
        <f>SUM(C67:O67)</f>
        <v>23867641</v>
      </c>
      <c r="T67" s="130"/>
    </row>
    <row r="68" spans="1:20" s="125" customFormat="1" ht="12.75">
      <c r="A68" s="123" t="s">
        <v>3</v>
      </c>
      <c r="B68" s="116" t="s">
        <v>141</v>
      </c>
      <c r="C68" s="117">
        <f>SUM(C69)</f>
        <v>0</v>
      </c>
      <c r="D68" s="117">
        <f aca="true" t="shared" si="20" ref="D68:P68">SUM(D69)</f>
        <v>0</v>
      </c>
      <c r="E68" s="117">
        <f t="shared" si="20"/>
        <v>0</v>
      </c>
      <c r="F68" s="117">
        <f t="shared" si="20"/>
        <v>0</v>
      </c>
      <c r="G68" s="117">
        <f t="shared" si="20"/>
        <v>0</v>
      </c>
      <c r="H68" s="117">
        <f t="shared" si="20"/>
        <v>5014012.65</v>
      </c>
      <c r="I68" s="117">
        <f t="shared" si="20"/>
        <v>0</v>
      </c>
      <c r="J68" s="117">
        <f t="shared" si="20"/>
        <v>27770.68</v>
      </c>
      <c r="K68" s="117">
        <f t="shared" si="20"/>
        <v>0</v>
      </c>
      <c r="L68" s="117">
        <f t="shared" si="20"/>
        <v>0</v>
      </c>
      <c r="M68" s="117">
        <f t="shared" si="20"/>
        <v>0</v>
      </c>
      <c r="N68" s="117">
        <f t="shared" si="20"/>
        <v>0</v>
      </c>
      <c r="O68" s="117">
        <f t="shared" si="20"/>
        <v>20060.67</v>
      </c>
      <c r="P68" s="117">
        <f t="shared" si="20"/>
        <v>5061844</v>
      </c>
      <c r="R68" s="152"/>
      <c r="T68" s="152"/>
    </row>
    <row r="69" spans="1:20" ht="12.75">
      <c r="A69" s="123"/>
      <c r="B69" s="119" t="s">
        <v>142</v>
      </c>
      <c r="C69" s="120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5014012.65</v>
      </c>
      <c r="I69" s="120">
        <v>0</v>
      </c>
      <c r="J69" s="120">
        <v>27770.68</v>
      </c>
      <c r="K69" s="120">
        <v>0</v>
      </c>
      <c r="L69" s="120">
        <v>0</v>
      </c>
      <c r="M69" s="120">
        <v>0</v>
      </c>
      <c r="N69" s="120">
        <f>20060.67-O69</f>
        <v>0</v>
      </c>
      <c r="O69" s="120">
        <v>20060.67</v>
      </c>
      <c r="P69" s="151">
        <f>SUM(C69:O69)</f>
        <v>5061844</v>
      </c>
      <c r="T69" s="130"/>
    </row>
    <row r="70" spans="1:20" s="125" customFormat="1" ht="13.5" thickBot="1">
      <c r="A70" s="148"/>
      <c r="B70" s="116" t="s">
        <v>516</v>
      </c>
      <c r="C70" s="117">
        <f>C66+C68</f>
        <v>1841288.17</v>
      </c>
      <c r="D70" s="117">
        <f aca="true" t="shared" si="21" ref="D70:P70">D66+D68</f>
        <v>1838499.79</v>
      </c>
      <c r="E70" s="117">
        <f t="shared" si="21"/>
        <v>1833480.12</v>
      </c>
      <c r="F70" s="117">
        <f t="shared" si="21"/>
        <v>2372409.93</v>
      </c>
      <c r="G70" s="117">
        <f t="shared" si="21"/>
        <v>1931915.79</v>
      </c>
      <c r="H70" s="117">
        <f t="shared" si="21"/>
        <v>6992961.82</v>
      </c>
      <c r="I70" s="117">
        <f t="shared" si="21"/>
        <v>1981072.8</v>
      </c>
      <c r="J70" s="117">
        <f t="shared" si="21"/>
        <v>1990215.38</v>
      </c>
      <c r="K70" s="117">
        <f t="shared" si="21"/>
        <v>1967074.95</v>
      </c>
      <c r="L70" s="117">
        <f t="shared" si="21"/>
        <v>1968050.22</v>
      </c>
      <c r="M70" s="117">
        <f t="shared" si="21"/>
        <v>1963504.28</v>
      </c>
      <c r="N70" s="117">
        <f t="shared" si="21"/>
        <v>1961077.5</v>
      </c>
      <c r="O70" s="117">
        <f t="shared" si="21"/>
        <v>287934.25</v>
      </c>
      <c r="P70" s="117">
        <f t="shared" si="21"/>
        <v>28929485</v>
      </c>
      <c r="R70" s="152"/>
      <c r="T70" s="152"/>
    </row>
    <row r="71" spans="1:20" s="111" customFormat="1" ht="12.75">
      <c r="A71" s="110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40"/>
      <c r="R71" s="219"/>
      <c r="T71" s="147"/>
    </row>
    <row r="72" spans="1:20" s="111" customFormat="1" ht="13.5" thickBot="1">
      <c r="A72" s="110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/>
      <c r="R72" s="219"/>
      <c r="T72" s="147"/>
    </row>
    <row r="73" spans="1:20" ht="12.75">
      <c r="A73" s="112"/>
      <c r="B73" s="116" t="s">
        <v>144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22"/>
      <c r="T73" s="130"/>
    </row>
    <row r="74" spans="1:20" ht="12.75">
      <c r="A74" s="123"/>
      <c r="B74" s="116" t="s">
        <v>145</v>
      </c>
      <c r="C74" s="117">
        <f aca="true" t="shared" si="22" ref="C74:P74">SUM(C75:C75)</f>
        <v>297678.28</v>
      </c>
      <c r="D74" s="117">
        <f t="shared" si="22"/>
        <v>306043.8</v>
      </c>
      <c r="E74" s="117">
        <f t="shared" si="22"/>
        <v>295164.54</v>
      </c>
      <c r="F74" s="117">
        <f t="shared" si="22"/>
        <v>365390.88</v>
      </c>
      <c r="G74" s="117">
        <f t="shared" si="22"/>
        <v>315029.63</v>
      </c>
      <c r="H74" s="117">
        <f t="shared" si="22"/>
        <v>320160.42</v>
      </c>
      <c r="I74" s="117">
        <f t="shared" si="22"/>
        <v>324266.4</v>
      </c>
      <c r="J74" s="117">
        <f t="shared" si="22"/>
        <v>322037.14</v>
      </c>
      <c r="K74" s="117">
        <f t="shared" si="22"/>
        <v>323630.43</v>
      </c>
      <c r="L74" s="117">
        <f t="shared" si="22"/>
        <v>322043.51</v>
      </c>
      <c r="M74" s="117">
        <f t="shared" si="22"/>
        <v>318022.83</v>
      </c>
      <c r="N74" s="117">
        <f t="shared" si="22"/>
        <v>316670.37</v>
      </c>
      <c r="O74" s="117">
        <f t="shared" si="22"/>
        <v>177822.77</v>
      </c>
      <c r="P74" s="117">
        <f t="shared" si="22"/>
        <v>4003961.0000000005</v>
      </c>
      <c r="T74" s="130"/>
    </row>
    <row r="75" spans="1:20" ht="12.75">
      <c r="A75" s="123"/>
      <c r="B75" s="119" t="s">
        <v>517</v>
      </c>
      <c r="C75" s="120">
        <v>297678.28</v>
      </c>
      <c r="D75" s="120">
        <v>306043.8</v>
      </c>
      <c r="E75" s="120">
        <v>295164.54</v>
      </c>
      <c r="F75" s="120">
        <v>365390.88</v>
      </c>
      <c r="G75" s="120">
        <v>315029.63</v>
      </c>
      <c r="H75" s="120">
        <v>320160.42</v>
      </c>
      <c r="I75" s="120">
        <v>324266.4</v>
      </c>
      <c r="J75" s="120">
        <v>322037.14</v>
      </c>
      <c r="K75" s="120">
        <v>323630.43</v>
      </c>
      <c r="L75" s="120">
        <v>322043.51</v>
      </c>
      <c r="M75" s="120">
        <v>318022.83</v>
      </c>
      <c r="N75" s="120">
        <f>494493.14-O75</f>
        <v>316670.37</v>
      </c>
      <c r="O75" s="120">
        <v>177822.77</v>
      </c>
      <c r="P75" s="122">
        <f>SUM(C75:O75)</f>
        <v>4003961.0000000005</v>
      </c>
      <c r="T75" s="130"/>
    </row>
    <row r="76" spans="1:20" s="125" customFormat="1" ht="12.75">
      <c r="A76" s="123"/>
      <c r="B76" s="116" t="s">
        <v>141</v>
      </c>
      <c r="C76" s="117">
        <f>SUM(C77)</f>
        <v>0</v>
      </c>
      <c r="D76" s="117">
        <f aca="true" t="shared" si="23" ref="D76:P76">SUM(D77)</f>
        <v>0</v>
      </c>
      <c r="E76" s="117">
        <f t="shared" si="23"/>
        <v>0</v>
      </c>
      <c r="F76" s="117">
        <f t="shared" si="23"/>
        <v>0</v>
      </c>
      <c r="G76" s="117">
        <f t="shared" si="23"/>
        <v>0</v>
      </c>
      <c r="H76" s="117">
        <f t="shared" si="23"/>
        <v>0</v>
      </c>
      <c r="I76" s="117">
        <f t="shared" si="23"/>
        <v>0</v>
      </c>
      <c r="J76" s="117">
        <f t="shared" si="23"/>
        <v>0</v>
      </c>
      <c r="K76" s="117">
        <f t="shared" si="23"/>
        <v>0</v>
      </c>
      <c r="L76" s="117">
        <f t="shared" si="23"/>
        <v>0</v>
      </c>
      <c r="M76" s="117">
        <f t="shared" si="23"/>
        <v>0</v>
      </c>
      <c r="N76" s="117">
        <f t="shared" si="23"/>
        <v>0</v>
      </c>
      <c r="O76" s="117">
        <f t="shared" si="23"/>
        <v>0</v>
      </c>
      <c r="P76" s="117">
        <f t="shared" si="23"/>
        <v>0</v>
      </c>
      <c r="R76" s="152"/>
      <c r="T76" s="152"/>
    </row>
    <row r="77" spans="1:20" ht="12.75">
      <c r="A77" s="123"/>
      <c r="B77" s="119" t="s">
        <v>146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2">
        <f>SUM(C77:O77)</f>
        <v>0</v>
      </c>
      <c r="T77" s="130"/>
    </row>
    <row r="78" spans="1:20" s="125" customFormat="1" ht="13.5" thickBot="1">
      <c r="A78" s="148"/>
      <c r="B78" s="116" t="s">
        <v>518</v>
      </c>
      <c r="C78" s="117">
        <f aca="true" t="shared" si="24" ref="C78:P78">C74+C76</f>
        <v>297678.28</v>
      </c>
      <c r="D78" s="117">
        <f t="shared" si="24"/>
        <v>306043.8</v>
      </c>
      <c r="E78" s="117">
        <f t="shared" si="24"/>
        <v>295164.54</v>
      </c>
      <c r="F78" s="117">
        <f t="shared" si="24"/>
        <v>365390.88</v>
      </c>
      <c r="G78" s="117">
        <f t="shared" si="24"/>
        <v>315029.63</v>
      </c>
      <c r="H78" s="117">
        <f t="shared" si="24"/>
        <v>320160.42</v>
      </c>
      <c r="I78" s="117">
        <f t="shared" si="24"/>
        <v>324266.4</v>
      </c>
      <c r="J78" s="117">
        <f t="shared" si="24"/>
        <v>322037.14</v>
      </c>
      <c r="K78" s="117">
        <f t="shared" si="24"/>
        <v>323630.43</v>
      </c>
      <c r="L78" s="117">
        <f t="shared" si="24"/>
        <v>322043.51</v>
      </c>
      <c r="M78" s="117">
        <f t="shared" si="24"/>
        <v>318022.83</v>
      </c>
      <c r="N78" s="117">
        <f t="shared" si="24"/>
        <v>316670.37</v>
      </c>
      <c r="O78" s="117">
        <f t="shared" si="24"/>
        <v>177822.77</v>
      </c>
      <c r="P78" s="117">
        <f t="shared" si="24"/>
        <v>4003961.0000000005</v>
      </c>
      <c r="R78" s="152"/>
      <c r="T78" s="152"/>
    </row>
    <row r="79" spans="1:20" s="111" customFormat="1" ht="13.5" thickBot="1">
      <c r="A79" s="127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40"/>
      <c r="R79" s="219"/>
      <c r="T79" s="147"/>
    </row>
    <row r="80" spans="1:20" ht="12.75">
      <c r="A80" s="112"/>
      <c r="B80" s="116" t="s">
        <v>147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22"/>
      <c r="T80" s="130"/>
    </row>
    <row r="81" spans="1:20" ht="12.75">
      <c r="A81" s="123" t="s">
        <v>5</v>
      </c>
      <c r="B81" s="116" t="s">
        <v>148</v>
      </c>
      <c r="C81" s="117" t="e">
        <f>SUM(#REF!)</f>
        <v>#REF!</v>
      </c>
      <c r="D81" s="117" t="e">
        <f>SUM(#REF!)</f>
        <v>#REF!</v>
      </c>
      <c r="E81" s="117">
        <f>SUM(E82)</f>
        <v>943418.67</v>
      </c>
      <c r="F81" s="117">
        <f aca="true" t="shared" si="25" ref="F81:P81">SUM(F82)</f>
        <v>957567.4</v>
      </c>
      <c r="G81" s="117">
        <f t="shared" si="25"/>
        <v>954209.44</v>
      </c>
      <c r="H81" s="117">
        <f t="shared" si="25"/>
        <v>948824.71</v>
      </c>
      <c r="I81" s="117">
        <f t="shared" si="25"/>
        <v>943031.25</v>
      </c>
      <c r="J81" s="117">
        <f t="shared" si="25"/>
        <v>957932.73</v>
      </c>
      <c r="K81" s="117">
        <f t="shared" si="25"/>
        <v>992516.42</v>
      </c>
      <c r="L81" s="117">
        <f t="shared" si="25"/>
        <v>977678.36</v>
      </c>
      <c r="M81" s="117">
        <f t="shared" si="25"/>
        <v>5454609.8</v>
      </c>
      <c r="N81" s="117">
        <f t="shared" si="25"/>
        <v>974334.43</v>
      </c>
      <c r="O81" s="117">
        <f t="shared" si="25"/>
        <v>5499.11</v>
      </c>
      <c r="P81" s="117">
        <f t="shared" si="25"/>
        <v>15986536.799999997</v>
      </c>
      <c r="T81" s="130"/>
    </row>
    <row r="82" spans="1:20" ht="12.75">
      <c r="A82" s="123"/>
      <c r="B82" s="124" t="s">
        <v>149</v>
      </c>
      <c r="C82" s="120">
        <v>927490.96</v>
      </c>
      <c r="D82" s="120">
        <v>949423.52</v>
      </c>
      <c r="E82" s="120">
        <v>943418.67</v>
      </c>
      <c r="F82" s="120">
        <v>957567.4</v>
      </c>
      <c r="G82" s="120">
        <v>954209.44</v>
      </c>
      <c r="H82" s="120">
        <v>948824.71</v>
      </c>
      <c r="I82" s="120">
        <v>943031.25</v>
      </c>
      <c r="J82" s="120">
        <v>957932.73</v>
      </c>
      <c r="K82" s="120">
        <v>992516.42</v>
      </c>
      <c r="L82" s="120">
        <v>977678.36</v>
      </c>
      <c r="M82" s="120">
        <v>5454609.8</v>
      </c>
      <c r="N82" s="120">
        <f>979833.54-O82</f>
        <v>974334.43</v>
      </c>
      <c r="O82" s="120">
        <v>5499.11</v>
      </c>
      <c r="P82" s="122">
        <f>SUM(C82:O82)</f>
        <v>15986536.799999997</v>
      </c>
      <c r="T82" s="130"/>
    </row>
    <row r="83" spans="3:20" s="111" customFormat="1" ht="12" customHeight="1" thickBot="1"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40"/>
      <c r="R83" s="219"/>
      <c r="T83" s="147"/>
    </row>
    <row r="84" spans="1:20" ht="12.75">
      <c r="A84" s="112"/>
      <c r="B84" s="116" t="s">
        <v>150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22"/>
      <c r="T84" s="130"/>
    </row>
    <row r="85" spans="1:20" ht="12.75">
      <c r="A85" s="149"/>
      <c r="B85" s="116" t="s">
        <v>151</v>
      </c>
      <c r="C85" s="117">
        <f aca="true" t="shared" si="26" ref="C85:P85">SUM(C86:C87)</f>
        <v>88541.61</v>
      </c>
      <c r="D85" s="117">
        <f t="shared" si="26"/>
        <v>145581.02</v>
      </c>
      <c r="E85" s="117">
        <f t="shared" si="26"/>
        <v>259202.71</v>
      </c>
      <c r="F85" s="117">
        <f t="shared" si="26"/>
        <v>140657.2</v>
      </c>
      <c r="G85" s="117">
        <f t="shared" si="26"/>
        <v>219000.17</v>
      </c>
      <c r="H85" s="117">
        <f t="shared" si="26"/>
        <v>149203.55</v>
      </c>
      <c r="I85" s="117">
        <f t="shared" si="26"/>
        <v>119894.1</v>
      </c>
      <c r="J85" s="117">
        <f t="shared" si="26"/>
        <v>256161.75</v>
      </c>
      <c r="K85" s="117">
        <f t="shared" si="26"/>
        <v>410253.42</v>
      </c>
      <c r="L85" s="117">
        <f t="shared" si="26"/>
        <v>265486.65</v>
      </c>
      <c r="M85" s="117">
        <f t="shared" si="26"/>
        <v>530240.73</v>
      </c>
      <c r="N85" s="117">
        <f t="shared" si="26"/>
        <v>105297.57</v>
      </c>
      <c r="O85" s="117">
        <f t="shared" si="26"/>
        <v>0</v>
      </c>
      <c r="P85" s="117">
        <f t="shared" si="26"/>
        <v>2689520.4799999995</v>
      </c>
      <c r="T85" s="130"/>
    </row>
    <row r="86" spans="1:20" ht="12.75">
      <c r="A86" s="123" t="s">
        <v>7</v>
      </c>
      <c r="B86" s="153" t="s">
        <v>152</v>
      </c>
      <c r="C86" s="150">
        <v>88541.61</v>
      </c>
      <c r="D86" s="150">
        <v>144608.87</v>
      </c>
      <c r="E86" s="150">
        <v>259202.71</v>
      </c>
      <c r="F86" s="150">
        <v>140657.2</v>
      </c>
      <c r="G86" s="150">
        <v>219000.17</v>
      </c>
      <c r="H86" s="120">
        <v>149203.55</v>
      </c>
      <c r="I86" s="150">
        <v>119894.1</v>
      </c>
      <c r="J86" s="150">
        <v>256161.75</v>
      </c>
      <c r="K86" s="120">
        <v>410253.42</v>
      </c>
      <c r="L86" s="150">
        <v>265486.65</v>
      </c>
      <c r="M86" s="150">
        <v>530240.73</v>
      </c>
      <c r="N86" s="150">
        <v>105297.57</v>
      </c>
      <c r="O86" s="150"/>
      <c r="P86" s="122">
        <f>SUM(C86:O86)</f>
        <v>2688548.3299999996</v>
      </c>
      <c r="T86" s="130"/>
    </row>
    <row r="87" spans="1:20" ht="13.5" thickBot="1">
      <c r="A87" s="154"/>
      <c r="B87" s="119" t="s">
        <v>153</v>
      </c>
      <c r="C87" s="120">
        <v>0</v>
      </c>
      <c r="D87" s="120">
        <v>972.15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/>
      <c r="P87" s="122">
        <f>SUM(C87:O87)</f>
        <v>972.15</v>
      </c>
      <c r="T87" s="130"/>
    </row>
    <row r="88" spans="1:20" ht="13.5" thickBot="1">
      <c r="A88" s="111"/>
      <c r="B88" s="111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0"/>
      <c r="T88" s="130"/>
    </row>
    <row r="89" spans="1:20" ht="12.75">
      <c r="A89" s="112"/>
      <c r="B89" s="116" t="s">
        <v>154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22"/>
      <c r="T89" s="130"/>
    </row>
    <row r="90" spans="1:20" ht="12.75">
      <c r="A90" s="123"/>
      <c r="B90" s="116" t="s">
        <v>155</v>
      </c>
      <c r="C90" s="117">
        <f>SUM(C91:C92)</f>
        <v>3502.77</v>
      </c>
      <c r="D90" s="117">
        <f aca="true" t="shared" si="27" ref="D90:P90">SUM(D91:D92)</f>
        <v>17820.3</v>
      </c>
      <c r="E90" s="117">
        <f t="shared" si="27"/>
        <v>69929.59</v>
      </c>
      <c r="F90" s="117">
        <f t="shared" si="27"/>
        <v>15049.99</v>
      </c>
      <c r="G90" s="117">
        <f t="shared" si="27"/>
        <v>93196.16</v>
      </c>
      <c r="H90" s="117">
        <f t="shared" si="27"/>
        <v>20430.19</v>
      </c>
      <c r="I90" s="117">
        <f t="shared" si="27"/>
        <v>39604.39</v>
      </c>
      <c r="J90" s="117">
        <f t="shared" si="27"/>
        <v>78633.08</v>
      </c>
      <c r="K90" s="117">
        <f t="shared" si="27"/>
        <v>56069.03</v>
      </c>
      <c r="L90" s="117">
        <f t="shared" si="27"/>
        <v>53417.82</v>
      </c>
      <c r="M90" s="117">
        <f t="shared" si="27"/>
        <v>67061.43</v>
      </c>
      <c r="N90" s="117">
        <f t="shared" si="27"/>
        <v>55212.59</v>
      </c>
      <c r="O90" s="117">
        <f t="shared" si="27"/>
        <v>10000</v>
      </c>
      <c r="P90" s="117">
        <f t="shared" si="27"/>
        <v>579927.34</v>
      </c>
      <c r="T90" s="130"/>
    </row>
    <row r="91" spans="1:20" ht="12.75">
      <c r="A91" s="123"/>
      <c r="B91" s="119" t="s">
        <v>156</v>
      </c>
      <c r="C91" s="120">
        <v>3502.77</v>
      </c>
      <c r="D91" s="120">
        <v>17820.3</v>
      </c>
      <c r="E91" s="120">
        <v>69929.59</v>
      </c>
      <c r="F91" s="120">
        <v>15049.99</v>
      </c>
      <c r="G91" s="120">
        <v>93196.16</v>
      </c>
      <c r="H91" s="120">
        <v>20430.19</v>
      </c>
      <c r="I91" s="120">
        <v>39604.39</v>
      </c>
      <c r="J91" s="120">
        <v>74133.08</v>
      </c>
      <c r="K91" s="120">
        <v>56069.03</v>
      </c>
      <c r="L91" s="120">
        <v>53417.82</v>
      </c>
      <c r="M91" s="120">
        <v>67061.43</v>
      </c>
      <c r="N91" s="120">
        <f>65212.59-O91</f>
        <v>55212.59</v>
      </c>
      <c r="O91" s="120">
        <v>10000</v>
      </c>
      <c r="P91" s="122">
        <f>SUM(C91:O91)</f>
        <v>575427.34</v>
      </c>
      <c r="T91" s="130"/>
    </row>
    <row r="92" spans="1:20" ht="12.75">
      <c r="A92" s="123"/>
      <c r="B92" s="119" t="s">
        <v>157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4500</v>
      </c>
      <c r="K92" s="120">
        <v>0</v>
      </c>
      <c r="L92" s="120">
        <v>0</v>
      </c>
      <c r="M92" s="120">
        <v>0</v>
      </c>
      <c r="N92" s="120">
        <v>0</v>
      </c>
      <c r="O92" s="120"/>
      <c r="P92" s="122">
        <f>SUM(C92:O92)</f>
        <v>4500</v>
      </c>
      <c r="T92" s="130"/>
    </row>
    <row r="93" spans="1:20" ht="12.75">
      <c r="A93" s="123" t="s">
        <v>8</v>
      </c>
      <c r="B93" s="116" t="s">
        <v>158</v>
      </c>
      <c r="C93" s="117">
        <f aca="true" t="shared" si="28" ref="C93:O93">SUM(C94:C94)</f>
        <v>80.51</v>
      </c>
      <c r="D93" s="117">
        <f t="shared" si="28"/>
        <v>0</v>
      </c>
      <c r="E93" s="117">
        <f t="shared" si="28"/>
        <v>0</v>
      </c>
      <c r="F93" s="117">
        <f t="shared" si="28"/>
        <v>0</v>
      </c>
      <c r="G93" s="117">
        <f t="shared" si="28"/>
        <v>0</v>
      </c>
      <c r="H93" s="117">
        <f t="shared" si="28"/>
        <v>0</v>
      </c>
      <c r="I93" s="117">
        <f t="shared" si="28"/>
        <v>0</v>
      </c>
      <c r="J93" s="117">
        <f t="shared" si="28"/>
        <v>0</v>
      </c>
      <c r="K93" s="117">
        <f t="shared" si="28"/>
        <v>0</v>
      </c>
      <c r="L93" s="117">
        <f t="shared" si="28"/>
        <v>0</v>
      </c>
      <c r="M93" s="117">
        <f t="shared" si="28"/>
        <v>0</v>
      </c>
      <c r="N93" s="117">
        <f t="shared" si="28"/>
        <v>0</v>
      </c>
      <c r="O93" s="117">
        <f t="shared" si="28"/>
        <v>0</v>
      </c>
      <c r="P93" s="129">
        <f>SUM(P94)</f>
        <v>80.51</v>
      </c>
      <c r="T93" s="130"/>
    </row>
    <row r="94" spans="1:20" ht="12.75">
      <c r="A94" s="123"/>
      <c r="B94" s="119" t="s">
        <v>159</v>
      </c>
      <c r="C94" s="120">
        <v>80.51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2">
        <f>SUM(C94:O94)</f>
        <v>80.51</v>
      </c>
      <c r="T94" s="130"/>
    </row>
    <row r="95" spans="1:20" ht="13.5" thickBot="1">
      <c r="A95" s="148"/>
      <c r="B95" s="116" t="s">
        <v>160</v>
      </c>
      <c r="C95" s="117">
        <f aca="true" t="shared" si="29" ref="C95:P95">C90+C93</f>
        <v>3583.28</v>
      </c>
      <c r="D95" s="117">
        <f t="shared" si="29"/>
        <v>17820.3</v>
      </c>
      <c r="E95" s="117">
        <f t="shared" si="29"/>
        <v>69929.59</v>
      </c>
      <c r="F95" s="117">
        <f t="shared" si="29"/>
        <v>15049.99</v>
      </c>
      <c r="G95" s="117">
        <f t="shared" si="29"/>
        <v>93196.16</v>
      </c>
      <c r="H95" s="117">
        <f t="shared" si="29"/>
        <v>20430.19</v>
      </c>
      <c r="I95" s="117">
        <f t="shared" si="29"/>
        <v>39604.39</v>
      </c>
      <c r="J95" s="117">
        <f t="shared" si="29"/>
        <v>78633.08</v>
      </c>
      <c r="K95" s="117">
        <f t="shared" si="29"/>
        <v>56069.03</v>
      </c>
      <c r="L95" s="117">
        <f t="shared" si="29"/>
        <v>53417.82</v>
      </c>
      <c r="M95" s="117">
        <f t="shared" si="29"/>
        <v>67061.43</v>
      </c>
      <c r="N95" s="117">
        <f t="shared" si="29"/>
        <v>55212.59</v>
      </c>
      <c r="O95" s="117">
        <f t="shared" si="29"/>
        <v>10000</v>
      </c>
      <c r="P95" s="117">
        <f t="shared" si="29"/>
        <v>580007.85</v>
      </c>
      <c r="T95" s="130"/>
    </row>
    <row r="96" spans="1:20" ht="13.5" thickBot="1">
      <c r="A96" s="111"/>
      <c r="B96" s="111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40"/>
      <c r="T96" s="130"/>
    </row>
    <row r="97" spans="1:20" ht="12.75">
      <c r="A97" s="112"/>
      <c r="B97" s="116" t="s">
        <v>161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22"/>
      <c r="T97" s="130"/>
    </row>
    <row r="98" spans="1:20" ht="12.75">
      <c r="A98" s="149"/>
      <c r="B98" s="116" t="s">
        <v>148</v>
      </c>
      <c r="C98" s="117">
        <f aca="true" t="shared" si="30" ref="C98:P98">SUM(C99:C105)</f>
        <v>191244.53999999998</v>
      </c>
      <c r="D98" s="117">
        <f t="shared" si="30"/>
        <v>266087.72000000003</v>
      </c>
      <c r="E98" s="117">
        <f t="shared" si="30"/>
        <v>309813.2</v>
      </c>
      <c r="F98" s="117">
        <f t="shared" si="30"/>
        <v>483083.97000000003</v>
      </c>
      <c r="G98" s="117">
        <f t="shared" si="30"/>
        <v>450100.48</v>
      </c>
      <c r="H98" s="117">
        <f t="shared" si="30"/>
        <v>358434.81</v>
      </c>
      <c r="I98" s="117">
        <f t="shared" si="30"/>
        <v>369648.6</v>
      </c>
      <c r="J98" s="117">
        <f t="shared" si="30"/>
        <v>308065.95999999996</v>
      </c>
      <c r="K98" s="117">
        <f t="shared" si="30"/>
        <v>420616.31</v>
      </c>
      <c r="L98" s="117">
        <f t="shared" si="30"/>
        <v>536503.2300000001</v>
      </c>
      <c r="M98" s="117">
        <f t="shared" si="30"/>
        <v>411855.19</v>
      </c>
      <c r="N98" s="117">
        <f t="shared" si="30"/>
        <v>411779.13</v>
      </c>
      <c r="O98" s="117">
        <f t="shared" si="30"/>
        <v>60892.509999999995</v>
      </c>
      <c r="P98" s="117">
        <f t="shared" si="30"/>
        <v>4578125.649999999</v>
      </c>
      <c r="T98" s="130"/>
    </row>
    <row r="99" spans="1:20" ht="12.75">
      <c r="A99" s="149"/>
      <c r="B99" s="153" t="s">
        <v>162</v>
      </c>
      <c r="C99" s="155">
        <v>893.09</v>
      </c>
      <c r="D99" s="155">
        <v>1132.39</v>
      </c>
      <c r="E99" s="155">
        <v>0</v>
      </c>
      <c r="F99" s="155">
        <v>700</v>
      </c>
      <c r="G99" s="155">
        <v>0</v>
      </c>
      <c r="H99" s="155">
        <v>350</v>
      </c>
      <c r="I99" s="155">
        <v>3646.95</v>
      </c>
      <c r="J99" s="155">
        <v>0</v>
      </c>
      <c r="K99" s="155">
        <v>376.04</v>
      </c>
      <c r="L99" s="155">
        <v>41033.33</v>
      </c>
      <c r="M99" s="155">
        <v>17100</v>
      </c>
      <c r="N99" s="155">
        <v>17300</v>
      </c>
      <c r="O99" s="155"/>
      <c r="P99" s="122">
        <f aca="true" t="shared" si="31" ref="P99:P105">SUM(C99:O99)</f>
        <v>82531.8</v>
      </c>
      <c r="T99" s="130"/>
    </row>
    <row r="100" spans="1:20" ht="12.75">
      <c r="A100" s="123"/>
      <c r="B100" s="153" t="s">
        <v>163</v>
      </c>
      <c r="C100" s="150">
        <v>180</v>
      </c>
      <c r="D100" s="150">
        <v>322.27</v>
      </c>
      <c r="E100" s="150">
        <v>1297.47</v>
      </c>
      <c r="F100" s="150">
        <v>2417.65</v>
      </c>
      <c r="G100" s="150">
        <v>690.46</v>
      </c>
      <c r="H100" s="150">
        <v>0</v>
      </c>
      <c r="I100" s="150">
        <v>0</v>
      </c>
      <c r="J100" s="150">
        <v>1453.04</v>
      </c>
      <c r="K100" s="150">
        <v>1026.87</v>
      </c>
      <c r="L100" s="150">
        <v>0</v>
      </c>
      <c r="M100" s="150">
        <v>12353.4</v>
      </c>
      <c r="N100" s="150">
        <v>2447.36</v>
      </c>
      <c r="O100" s="150"/>
      <c r="P100" s="122">
        <f t="shared" si="31"/>
        <v>22188.52</v>
      </c>
      <c r="T100" s="130"/>
    </row>
    <row r="101" spans="1:20" ht="12.75">
      <c r="A101" s="123" t="s">
        <v>9</v>
      </c>
      <c r="B101" s="153" t="s">
        <v>164</v>
      </c>
      <c r="C101" s="150">
        <v>0</v>
      </c>
      <c r="D101" s="150">
        <v>24462.82</v>
      </c>
      <c r="E101" s="150">
        <v>25299.69</v>
      </c>
      <c r="F101" s="150">
        <v>75470.74</v>
      </c>
      <c r="G101" s="150">
        <v>141095.27</v>
      </c>
      <c r="H101" s="150">
        <v>70232.23</v>
      </c>
      <c r="I101" s="150">
        <v>20815.33</v>
      </c>
      <c r="J101" s="150">
        <v>44547.81</v>
      </c>
      <c r="K101" s="150">
        <v>65784.81</v>
      </c>
      <c r="L101" s="150">
        <v>166191.68</v>
      </c>
      <c r="M101" s="150">
        <v>74424.43</v>
      </c>
      <c r="N101" s="150">
        <v>49814.26</v>
      </c>
      <c r="O101" s="150"/>
      <c r="P101" s="122">
        <f t="shared" si="31"/>
        <v>758139.0700000001</v>
      </c>
      <c r="T101" s="130"/>
    </row>
    <row r="102" spans="1:20" ht="12.75">
      <c r="A102" s="123"/>
      <c r="B102" s="119" t="s">
        <v>165</v>
      </c>
      <c r="C102" s="120">
        <v>189592.93</v>
      </c>
      <c r="D102" s="150">
        <v>231583.87</v>
      </c>
      <c r="E102" s="120">
        <v>187743.52</v>
      </c>
      <c r="F102" s="120">
        <v>348042.9</v>
      </c>
      <c r="G102" s="120">
        <v>259497.23</v>
      </c>
      <c r="H102" s="120">
        <v>280283.68</v>
      </c>
      <c r="I102" s="120">
        <v>260237.02</v>
      </c>
      <c r="J102" s="120">
        <v>252173.99</v>
      </c>
      <c r="K102" s="120">
        <v>288272.81</v>
      </c>
      <c r="L102" s="120">
        <v>274439.87</v>
      </c>
      <c r="M102" s="120">
        <v>254467.07</v>
      </c>
      <c r="N102" s="120">
        <v>287902.95</v>
      </c>
      <c r="O102" s="120"/>
      <c r="P102" s="122">
        <f t="shared" si="31"/>
        <v>3114237.84</v>
      </c>
      <c r="T102" s="130"/>
    </row>
    <row r="103" spans="1:20" ht="12.75">
      <c r="A103" s="123"/>
      <c r="B103" s="119" t="s">
        <v>166</v>
      </c>
      <c r="C103" s="120">
        <v>0</v>
      </c>
      <c r="D103" s="150">
        <v>0</v>
      </c>
      <c r="E103" s="120">
        <v>85485.77</v>
      </c>
      <c r="F103" s="120">
        <v>42494.82</v>
      </c>
      <c r="G103" s="120">
        <v>40469.22</v>
      </c>
      <c r="H103" s="120">
        <v>0</v>
      </c>
      <c r="I103" s="120">
        <v>74871.88</v>
      </c>
      <c r="J103" s="120">
        <v>0</v>
      </c>
      <c r="K103" s="120">
        <v>38162.44</v>
      </c>
      <c r="L103" s="120">
        <v>36639.15</v>
      </c>
      <c r="M103" s="120">
        <v>37447.49</v>
      </c>
      <c r="N103" s="120">
        <f>91887.37-O103</f>
        <v>32841.67</v>
      </c>
      <c r="O103" s="120">
        <v>59045.7</v>
      </c>
      <c r="P103" s="122">
        <f t="shared" si="31"/>
        <v>447458.14</v>
      </c>
      <c r="T103" s="130"/>
    </row>
    <row r="104" spans="1:20" ht="12.75">
      <c r="A104" s="123"/>
      <c r="B104" s="119" t="s">
        <v>167</v>
      </c>
      <c r="C104" s="120">
        <v>0</v>
      </c>
      <c r="D104" s="120">
        <v>3444</v>
      </c>
      <c r="E104" s="120">
        <v>2975.43</v>
      </c>
      <c r="F104" s="120">
        <v>5239.73</v>
      </c>
      <c r="G104" s="120">
        <v>906.9</v>
      </c>
      <c r="H104" s="120">
        <v>300</v>
      </c>
      <c r="I104" s="120">
        <v>5284.55</v>
      </c>
      <c r="J104" s="120">
        <v>1150.95</v>
      </c>
      <c r="K104" s="120">
        <v>4485.16</v>
      </c>
      <c r="L104" s="120">
        <v>1562.52</v>
      </c>
      <c r="M104" s="120">
        <v>2156.79</v>
      </c>
      <c r="N104" s="120">
        <f>3397.86-O104</f>
        <v>1551.0500000000002</v>
      </c>
      <c r="O104" s="120">
        <v>1846.81</v>
      </c>
      <c r="P104" s="122">
        <f>SUM(C104:O104)</f>
        <v>30903.890000000003</v>
      </c>
      <c r="T104" s="130"/>
    </row>
    <row r="105" spans="1:20" ht="12.75">
      <c r="A105" s="123"/>
      <c r="B105" s="119" t="s">
        <v>519</v>
      </c>
      <c r="C105" s="120">
        <v>578.52</v>
      </c>
      <c r="D105" s="120">
        <v>5142.37</v>
      </c>
      <c r="E105" s="120">
        <v>7011.32</v>
      </c>
      <c r="F105" s="120">
        <v>8718.13</v>
      </c>
      <c r="G105" s="120">
        <v>7441.4</v>
      </c>
      <c r="H105" s="120">
        <v>7268.9</v>
      </c>
      <c r="I105" s="120">
        <v>4792.87</v>
      </c>
      <c r="J105" s="120">
        <v>8740.17</v>
      </c>
      <c r="K105" s="120">
        <v>22508.18</v>
      </c>
      <c r="L105" s="120">
        <v>16636.68</v>
      </c>
      <c r="M105" s="120">
        <v>13906.01</v>
      </c>
      <c r="N105" s="120">
        <v>19921.84</v>
      </c>
      <c r="O105" s="120"/>
      <c r="P105" s="122">
        <f t="shared" si="31"/>
        <v>122666.39</v>
      </c>
      <c r="T105" s="130"/>
    </row>
    <row r="106" spans="1:20" ht="12.75">
      <c r="A106" s="123"/>
      <c r="B106" s="116" t="s">
        <v>168</v>
      </c>
      <c r="C106" s="117">
        <f>SUM(C107:C109)</f>
        <v>696.42</v>
      </c>
      <c r="D106" s="117">
        <f aca="true" t="shared" si="32" ref="D106:P106">SUM(D107:D109)</f>
        <v>0</v>
      </c>
      <c r="E106" s="117">
        <f t="shared" si="32"/>
        <v>0</v>
      </c>
      <c r="F106" s="117">
        <f t="shared" si="32"/>
        <v>48490.93</v>
      </c>
      <c r="G106" s="117">
        <f t="shared" si="32"/>
        <v>-669.73</v>
      </c>
      <c r="H106" s="117">
        <f t="shared" si="32"/>
        <v>0</v>
      </c>
      <c r="I106" s="117">
        <f t="shared" si="32"/>
        <v>0</v>
      </c>
      <c r="J106" s="117">
        <f t="shared" si="32"/>
        <v>0</v>
      </c>
      <c r="K106" s="117">
        <f t="shared" si="32"/>
        <v>0</v>
      </c>
      <c r="L106" s="117">
        <f t="shared" si="32"/>
        <v>0</v>
      </c>
      <c r="M106" s="117">
        <f t="shared" si="32"/>
        <v>0</v>
      </c>
      <c r="N106" s="117">
        <f t="shared" si="32"/>
        <v>0</v>
      </c>
      <c r="O106" s="117">
        <f t="shared" si="32"/>
        <v>669.73</v>
      </c>
      <c r="P106" s="117">
        <f t="shared" si="32"/>
        <v>49187.35</v>
      </c>
      <c r="T106" s="130"/>
    </row>
    <row r="107" spans="1:20" s="103" customFormat="1" ht="12.75">
      <c r="A107" s="156"/>
      <c r="B107" s="124" t="s">
        <v>520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33">
        <v>0</v>
      </c>
      <c r="J107" s="133">
        <v>0</v>
      </c>
      <c r="K107" s="133">
        <v>0</v>
      </c>
      <c r="L107" s="133">
        <v>0</v>
      </c>
      <c r="M107" s="133">
        <v>0</v>
      </c>
      <c r="N107" s="133">
        <v>0</v>
      </c>
      <c r="O107" s="133">
        <v>0</v>
      </c>
      <c r="P107" s="163">
        <f>SUM(C107:O107)</f>
        <v>0</v>
      </c>
      <c r="R107" s="20"/>
      <c r="T107" s="20"/>
    </row>
    <row r="108" spans="1:20" s="103" customFormat="1" ht="12.75">
      <c r="A108" s="156"/>
      <c r="B108" s="124" t="s">
        <v>565</v>
      </c>
      <c r="C108" s="133"/>
      <c r="D108" s="133"/>
      <c r="E108" s="133">
        <v>0</v>
      </c>
      <c r="F108" s="133">
        <v>48490.93</v>
      </c>
      <c r="G108" s="133">
        <v>-669.73</v>
      </c>
      <c r="H108" s="133">
        <v>0</v>
      </c>
      <c r="I108" s="133">
        <v>0</v>
      </c>
      <c r="J108" s="133">
        <v>0</v>
      </c>
      <c r="K108" s="133">
        <v>0</v>
      </c>
      <c r="L108" s="133">
        <v>0</v>
      </c>
      <c r="M108" s="133">
        <v>0</v>
      </c>
      <c r="N108" s="133"/>
      <c r="O108" s="133"/>
      <c r="P108" s="163">
        <f>SUM(C108:O108)</f>
        <v>47821.2</v>
      </c>
      <c r="R108" s="20"/>
      <c r="T108" s="20"/>
    </row>
    <row r="109" spans="1:20" ht="12.75">
      <c r="A109" s="123"/>
      <c r="B109" s="119" t="s">
        <v>521</v>
      </c>
      <c r="C109" s="120">
        <v>696.42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f>669.73-O109</f>
        <v>0</v>
      </c>
      <c r="O109" s="120">
        <v>669.73</v>
      </c>
      <c r="P109" s="122">
        <f>SUM(C109:O109)</f>
        <v>1366.15</v>
      </c>
      <c r="T109" s="130"/>
    </row>
    <row r="110" spans="1:20" ht="13.5" thickBot="1">
      <c r="A110" s="154"/>
      <c r="B110" s="116" t="s">
        <v>143</v>
      </c>
      <c r="C110" s="117">
        <f aca="true" t="shared" si="33" ref="C110:P110">C98+C106</f>
        <v>191940.96</v>
      </c>
      <c r="D110" s="117">
        <f t="shared" si="33"/>
        <v>266087.72000000003</v>
      </c>
      <c r="E110" s="117">
        <f t="shared" si="33"/>
        <v>309813.2</v>
      </c>
      <c r="F110" s="117">
        <f t="shared" si="33"/>
        <v>531574.9</v>
      </c>
      <c r="G110" s="117">
        <f t="shared" si="33"/>
        <v>449430.75</v>
      </c>
      <c r="H110" s="117">
        <f t="shared" si="33"/>
        <v>358434.81</v>
      </c>
      <c r="I110" s="117">
        <f t="shared" si="33"/>
        <v>369648.6</v>
      </c>
      <c r="J110" s="117">
        <f t="shared" si="33"/>
        <v>308065.95999999996</v>
      </c>
      <c r="K110" s="117">
        <f t="shared" si="33"/>
        <v>420616.31</v>
      </c>
      <c r="L110" s="117">
        <f t="shared" si="33"/>
        <v>536503.2300000001</v>
      </c>
      <c r="M110" s="117">
        <f t="shared" si="33"/>
        <v>411855.19</v>
      </c>
      <c r="N110" s="117">
        <f t="shared" si="33"/>
        <v>411779.13</v>
      </c>
      <c r="O110" s="117">
        <f t="shared" si="33"/>
        <v>61562.24</v>
      </c>
      <c r="P110" s="117">
        <f t="shared" si="33"/>
        <v>4627312.999999999</v>
      </c>
      <c r="T110" s="130"/>
    </row>
    <row r="111" spans="1:20" ht="13.5" thickBot="1">
      <c r="A111" s="111"/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T111" s="130"/>
    </row>
    <row r="112" spans="1:20" ht="12.75">
      <c r="A112" s="112"/>
      <c r="B112" s="116" t="s">
        <v>10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22"/>
      <c r="T112" s="130"/>
    </row>
    <row r="113" spans="1:20" ht="12.75">
      <c r="A113" s="149"/>
      <c r="B113" s="116" t="s">
        <v>169</v>
      </c>
      <c r="C113" s="117">
        <f aca="true" t="shared" si="34" ref="C113:P113">SUM(C114:C114)</f>
        <v>2973.75</v>
      </c>
      <c r="D113" s="117">
        <f t="shared" si="34"/>
        <v>17828.61</v>
      </c>
      <c r="E113" s="117">
        <f t="shared" si="34"/>
        <v>17828.61</v>
      </c>
      <c r="F113" s="117">
        <f t="shared" si="34"/>
        <v>18264</v>
      </c>
      <c r="G113" s="117">
        <f t="shared" si="34"/>
        <v>18002.6</v>
      </c>
      <c r="H113" s="117">
        <f t="shared" si="34"/>
        <v>18002.6</v>
      </c>
      <c r="I113" s="117">
        <f t="shared" si="34"/>
        <v>18002.6</v>
      </c>
      <c r="J113" s="117">
        <f t="shared" si="34"/>
        <v>18618.59</v>
      </c>
      <c r="K113" s="117">
        <f t="shared" si="34"/>
        <v>18618.59</v>
      </c>
      <c r="L113" s="117">
        <f t="shared" si="34"/>
        <v>19127.09</v>
      </c>
      <c r="M113" s="117">
        <f t="shared" si="34"/>
        <v>18788.09</v>
      </c>
      <c r="N113" s="117">
        <f t="shared" si="34"/>
        <v>19235.8</v>
      </c>
      <c r="O113" s="117">
        <f t="shared" si="34"/>
        <v>14373.55</v>
      </c>
      <c r="P113" s="117">
        <f t="shared" si="34"/>
        <v>219664.47999999998</v>
      </c>
      <c r="T113" s="130"/>
    </row>
    <row r="114" spans="1:20" ht="12.75">
      <c r="A114" s="123"/>
      <c r="B114" s="119" t="s">
        <v>170</v>
      </c>
      <c r="C114" s="120">
        <v>2973.75</v>
      </c>
      <c r="D114" s="120">
        <v>17828.61</v>
      </c>
      <c r="E114" s="120">
        <v>17828.61</v>
      </c>
      <c r="F114" s="120">
        <v>18264</v>
      </c>
      <c r="G114" s="120">
        <v>18002.6</v>
      </c>
      <c r="H114" s="120">
        <v>18002.6</v>
      </c>
      <c r="I114" s="120">
        <v>18002.6</v>
      </c>
      <c r="J114" s="120">
        <v>18618.59</v>
      </c>
      <c r="K114" s="120">
        <v>18618.59</v>
      </c>
      <c r="L114" s="120">
        <v>19127.09</v>
      </c>
      <c r="M114" s="120">
        <v>18788.09</v>
      </c>
      <c r="N114" s="120">
        <f>33609.35-O114</f>
        <v>19235.8</v>
      </c>
      <c r="O114" s="120">
        <v>14373.55</v>
      </c>
      <c r="P114" s="122">
        <f>SUM(C114:O114)</f>
        <v>219664.47999999998</v>
      </c>
      <c r="T114" s="130"/>
    </row>
    <row r="115" spans="1:20" ht="12.75">
      <c r="A115" s="123" t="s">
        <v>11</v>
      </c>
      <c r="B115" s="116" t="s">
        <v>171</v>
      </c>
      <c r="C115" s="117">
        <f aca="true" t="shared" si="35" ref="C115:P115">SUM(C116:C116)</f>
        <v>0</v>
      </c>
      <c r="D115" s="117">
        <f t="shared" si="35"/>
        <v>11940</v>
      </c>
      <c r="E115" s="117">
        <f t="shared" si="35"/>
        <v>24446.04</v>
      </c>
      <c r="F115" s="117">
        <f t="shared" si="35"/>
        <v>426682.33</v>
      </c>
      <c r="G115" s="117">
        <f t="shared" si="35"/>
        <v>166406.47</v>
      </c>
      <c r="H115" s="117">
        <f t="shared" si="35"/>
        <v>142526.47</v>
      </c>
      <c r="I115" s="117">
        <f t="shared" si="35"/>
        <v>185759.01</v>
      </c>
      <c r="J115" s="117">
        <f t="shared" si="35"/>
        <v>173322.01</v>
      </c>
      <c r="K115" s="117">
        <f t="shared" si="35"/>
        <v>193479.36</v>
      </c>
      <c r="L115" s="117">
        <f t="shared" si="35"/>
        <v>41204.58</v>
      </c>
      <c r="M115" s="117">
        <f t="shared" si="35"/>
        <v>315072.22</v>
      </c>
      <c r="N115" s="117">
        <f t="shared" si="35"/>
        <v>159684.36000000002</v>
      </c>
      <c r="O115" s="117">
        <f t="shared" si="35"/>
        <v>166143.73</v>
      </c>
      <c r="P115" s="117">
        <f t="shared" si="35"/>
        <v>2006666.58</v>
      </c>
      <c r="T115" s="130"/>
    </row>
    <row r="116" spans="1:20" ht="12.75">
      <c r="A116" s="118"/>
      <c r="B116" s="119" t="s">
        <v>172</v>
      </c>
      <c r="C116" s="120">
        <v>0</v>
      </c>
      <c r="D116" s="120">
        <v>11940</v>
      </c>
      <c r="E116" s="120">
        <v>24446.04</v>
      </c>
      <c r="F116" s="120">
        <v>426682.33</v>
      </c>
      <c r="G116" s="120">
        <v>166406.47</v>
      </c>
      <c r="H116" s="120">
        <v>142526.47</v>
      </c>
      <c r="I116" s="120">
        <v>185759.01</v>
      </c>
      <c r="J116" s="120">
        <v>173322.01</v>
      </c>
      <c r="K116" s="120">
        <v>193479.36</v>
      </c>
      <c r="L116" s="120">
        <v>41204.58</v>
      </c>
      <c r="M116" s="120">
        <v>315072.22</v>
      </c>
      <c r="N116" s="120">
        <f>325828.09-O116</f>
        <v>159684.36000000002</v>
      </c>
      <c r="O116" s="120">
        <f>10948.38+155195.35</f>
        <v>166143.73</v>
      </c>
      <c r="P116" s="122">
        <f>SUM(C116:O116)</f>
        <v>2006666.58</v>
      </c>
      <c r="T116" s="130"/>
    </row>
    <row r="117" spans="1:20" ht="12.75">
      <c r="A117" s="118"/>
      <c r="B117" s="116" t="s">
        <v>173</v>
      </c>
      <c r="C117" s="117">
        <f aca="true" t="shared" si="36" ref="C117:P117">SUM(C118:C119)</f>
        <v>873.15</v>
      </c>
      <c r="D117" s="117">
        <f t="shared" si="36"/>
        <v>0</v>
      </c>
      <c r="E117" s="117">
        <f t="shared" si="36"/>
        <v>0</v>
      </c>
      <c r="F117" s="117">
        <f t="shared" si="36"/>
        <v>0</v>
      </c>
      <c r="G117" s="117">
        <f t="shared" si="36"/>
        <v>0</v>
      </c>
      <c r="H117" s="117">
        <f t="shared" si="36"/>
        <v>0</v>
      </c>
      <c r="I117" s="117">
        <f t="shared" si="36"/>
        <v>0</v>
      </c>
      <c r="J117" s="117">
        <f t="shared" si="36"/>
        <v>0</v>
      </c>
      <c r="K117" s="117">
        <f t="shared" si="36"/>
        <v>0</v>
      </c>
      <c r="L117" s="117">
        <f t="shared" si="36"/>
        <v>0</v>
      </c>
      <c r="M117" s="117">
        <f t="shared" si="36"/>
        <v>0</v>
      </c>
      <c r="N117" s="117">
        <f t="shared" si="36"/>
        <v>0</v>
      </c>
      <c r="O117" s="117">
        <f t="shared" si="36"/>
        <v>0</v>
      </c>
      <c r="P117" s="117">
        <f t="shared" si="36"/>
        <v>873.15</v>
      </c>
      <c r="T117" s="130"/>
    </row>
    <row r="118" spans="1:20" ht="12.75">
      <c r="A118" s="118"/>
      <c r="B118" s="119" t="s">
        <v>174</v>
      </c>
      <c r="C118" s="120">
        <v>873.15</v>
      </c>
      <c r="D118" s="120">
        <v>0</v>
      </c>
      <c r="E118" s="120">
        <v>0</v>
      </c>
      <c r="F118" s="120">
        <v>0</v>
      </c>
      <c r="G118" s="120">
        <v>0</v>
      </c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2">
        <f>SUM(C118:O118)</f>
        <v>873.15</v>
      </c>
      <c r="T118" s="130"/>
    </row>
    <row r="119" spans="1:20" ht="12.75">
      <c r="A119" s="118"/>
      <c r="B119" s="119" t="s">
        <v>175</v>
      </c>
      <c r="C119" s="120">
        <v>0</v>
      </c>
      <c r="D119" s="120">
        <v>0</v>
      </c>
      <c r="E119" s="120">
        <v>0</v>
      </c>
      <c r="F119" s="120">
        <v>0</v>
      </c>
      <c r="G119" s="120">
        <v>0</v>
      </c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2">
        <f>SUM(C119:O119)</f>
        <v>0</v>
      </c>
      <c r="T119" s="130"/>
    </row>
    <row r="120" spans="1:20" ht="13.5" thickBot="1">
      <c r="A120" s="154"/>
      <c r="B120" s="116" t="s">
        <v>176</v>
      </c>
      <c r="C120" s="117">
        <f aca="true" t="shared" si="37" ref="C120:P120">C113+C115+C117</f>
        <v>3846.9</v>
      </c>
      <c r="D120" s="117">
        <f t="shared" si="37"/>
        <v>29768.61</v>
      </c>
      <c r="E120" s="117">
        <f t="shared" si="37"/>
        <v>42274.65</v>
      </c>
      <c r="F120" s="117">
        <f t="shared" si="37"/>
        <v>444946.33</v>
      </c>
      <c r="G120" s="117">
        <f t="shared" si="37"/>
        <v>184409.07</v>
      </c>
      <c r="H120" s="117">
        <f t="shared" si="37"/>
        <v>160529.07</v>
      </c>
      <c r="I120" s="117">
        <f t="shared" si="37"/>
        <v>203761.61000000002</v>
      </c>
      <c r="J120" s="117">
        <f t="shared" si="37"/>
        <v>191940.6</v>
      </c>
      <c r="K120" s="117">
        <f t="shared" si="37"/>
        <v>212097.94999999998</v>
      </c>
      <c r="L120" s="117">
        <f t="shared" si="37"/>
        <v>60331.67</v>
      </c>
      <c r="M120" s="117">
        <f t="shared" si="37"/>
        <v>333860.31</v>
      </c>
      <c r="N120" s="117">
        <f t="shared" si="37"/>
        <v>178920.16</v>
      </c>
      <c r="O120" s="117">
        <f t="shared" si="37"/>
        <v>180517.28</v>
      </c>
      <c r="P120" s="117">
        <f t="shared" si="37"/>
        <v>2227204.21</v>
      </c>
      <c r="T120" s="130"/>
    </row>
    <row r="121" spans="1:20" ht="13.5" thickBot="1">
      <c r="A121" s="111"/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40"/>
      <c r="T121" s="130"/>
    </row>
    <row r="122" spans="1:20" ht="12.75">
      <c r="A122" s="112"/>
      <c r="B122" s="116" t="s">
        <v>177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22"/>
      <c r="T122" s="130"/>
    </row>
    <row r="123" spans="1:20" ht="12.75">
      <c r="A123" s="149"/>
      <c r="B123" s="116" t="s">
        <v>171</v>
      </c>
      <c r="C123" s="117">
        <f aca="true" t="shared" si="38" ref="C123:P123">SUM(C124:C124)</f>
        <v>0</v>
      </c>
      <c r="D123" s="117">
        <f t="shared" si="38"/>
        <v>93943.28</v>
      </c>
      <c r="E123" s="117">
        <f t="shared" si="38"/>
        <v>95107.34</v>
      </c>
      <c r="F123" s="117">
        <f t="shared" si="38"/>
        <v>102011.92</v>
      </c>
      <c r="G123" s="117">
        <f t="shared" si="38"/>
        <v>94603.8</v>
      </c>
      <c r="H123" s="117">
        <f t="shared" si="38"/>
        <v>96074.51</v>
      </c>
      <c r="I123" s="117">
        <f t="shared" si="38"/>
        <v>108740.93</v>
      </c>
      <c r="J123" s="117">
        <f t="shared" si="38"/>
        <v>106768.19</v>
      </c>
      <c r="K123" s="117">
        <f t="shared" si="38"/>
        <v>97857.44</v>
      </c>
      <c r="L123" s="117">
        <f t="shared" si="38"/>
        <v>91608.25</v>
      </c>
      <c r="M123" s="117">
        <f t="shared" si="38"/>
        <v>100185.31</v>
      </c>
      <c r="N123" s="117">
        <f t="shared" si="38"/>
        <v>90150.81</v>
      </c>
      <c r="O123" s="117">
        <f t="shared" si="38"/>
        <v>50959.950000000004</v>
      </c>
      <c r="P123" s="117">
        <f t="shared" si="38"/>
        <v>1128011.73</v>
      </c>
      <c r="T123" s="130"/>
    </row>
    <row r="124" spans="1:20" ht="12.75">
      <c r="A124" s="123"/>
      <c r="B124" s="119" t="s">
        <v>178</v>
      </c>
      <c r="C124" s="120">
        <v>0</v>
      </c>
      <c r="D124" s="120">
        <v>93943.28</v>
      </c>
      <c r="E124" s="120">
        <v>95107.34</v>
      </c>
      <c r="F124" s="120">
        <v>102011.92</v>
      </c>
      <c r="G124" s="120">
        <v>94603.8</v>
      </c>
      <c r="H124" s="120">
        <v>96074.51</v>
      </c>
      <c r="I124" s="120">
        <v>108740.93</v>
      </c>
      <c r="J124" s="120">
        <v>106768.19</v>
      </c>
      <c r="K124" s="120">
        <v>97857.44</v>
      </c>
      <c r="L124" s="120">
        <v>91608.25</v>
      </c>
      <c r="M124" s="120">
        <v>100185.31</v>
      </c>
      <c r="N124" s="120">
        <f>141110.76-O124</f>
        <v>90150.81</v>
      </c>
      <c r="O124" s="120">
        <f>50878.23+81.72</f>
        <v>50959.950000000004</v>
      </c>
      <c r="P124" s="122">
        <f>SUM(C124:O124)</f>
        <v>1128011.73</v>
      </c>
      <c r="T124" s="130"/>
    </row>
    <row r="125" spans="1:20" ht="12.75">
      <c r="A125" s="123" t="s">
        <v>12</v>
      </c>
      <c r="B125" s="116" t="s">
        <v>179</v>
      </c>
      <c r="C125" s="117">
        <f aca="true" t="shared" si="39" ref="C125:P125">SUM(C126:C126)</f>
        <v>602.92</v>
      </c>
      <c r="D125" s="117">
        <f t="shared" si="39"/>
        <v>0</v>
      </c>
      <c r="E125" s="117">
        <f t="shared" si="39"/>
        <v>1768</v>
      </c>
      <c r="F125" s="117">
        <f t="shared" si="39"/>
        <v>997.42</v>
      </c>
      <c r="G125" s="117">
        <f t="shared" si="39"/>
        <v>0</v>
      </c>
      <c r="H125" s="117">
        <f t="shared" si="39"/>
        <v>0</v>
      </c>
      <c r="I125" s="117">
        <f t="shared" si="39"/>
        <v>0</v>
      </c>
      <c r="J125" s="117">
        <f t="shared" si="39"/>
        <v>0</v>
      </c>
      <c r="K125" s="117">
        <f t="shared" si="39"/>
        <v>0</v>
      </c>
      <c r="L125" s="117">
        <f t="shared" si="39"/>
        <v>0</v>
      </c>
      <c r="M125" s="117">
        <f t="shared" si="39"/>
        <v>0</v>
      </c>
      <c r="N125" s="117">
        <f t="shared" si="39"/>
        <v>0</v>
      </c>
      <c r="O125" s="117">
        <f t="shared" si="39"/>
        <v>0</v>
      </c>
      <c r="P125" s="117">
        <f t="shared" si="39"/>
        <v>3368.34</v>
      </c>
      <c r="T125" s="130"/>
    </row>
    <row r="126" spans="1:20" ht="12.75">
      <c r="A126" s="118"/>
      <c r="B126" s="119" t="s">
        <v>180</v>
      </c>
      <c r="C126" s="120">
        <v>602.92</v>
      </c>
      <c r="D126" s="120">
        <v>0</v>
      </c>
      <c r="E126" s="120">
        <v>1768</v>
      </c>
      <c r="F126" s="120">
        <v>997.42</v>
      </c>
      <c r="G126" s="120">
        <v>0</v>
      </c>
      <c r="H126" s="120">
        <v>0</v>
      </c>
      <c r="I126" s="120">
        <v>0</v>
      </c>
      <c r="J126" s="120">
        <v>0</v>
      </c>
      <c r="K126" s="120">
        <v>0</v>
      </c>
      <c r="L126" s="120">
        <v>0</v>
      </c>
      <c r="M126" s="120">
        <v>0</v>
      </c>
      <c r="N126" s="120">
        <v>0</v>
      </c>
      <c r="O126" s="120">
        <v>0</v>
      </c>
      <c r="P126" s="122">
        <f>SUM(C126:O126)</f>
        <v>3368.34</v>
      </c>
      <c r="T126" s="130"/>
    </row>
    <row r="127" spans="1:20" ht="13.5" thickBot="1">
      <c r="A127" s="154"/>
      <c r="B127" s="116" t="s">
        <v>181</v>
      </c>
      <c r="C127" s="117">
        <f aca="true" t="shared" si="40" ref="C127:P127">C123+C125</f>
        <v>602.92</v>
      </c>
      <c r="D127" s="117">
        <f t="shared" si="40"/>
        <v>93943.28</v>
      </c>
      <c r="E127" s="117">
        <f t="shared" si="40"/>
        <v>96875.34</v>
      </c>
      <c r="F127" s="117">
        <f t="shared" si="40"/>
        <v>103009.34</v>
      </c>
      <c r="G127" s="117">
        <f t="shared" si="40"/>
        <v>94603.8</v>
      </c>
      <c r="H127" s="117">
        <f t="shared" si="40"/>
        <v>96074.51</v>
      </c>
      <c r="I127" s="117">
        <f t="shared" si="40"/>
        <v>108740.93</v>
      </c>
      <c r="J127" s="117">
        <f t="shared" si="40"/>
        <v>106768.19</v>
      </c>
      <c r="K127" s="117">
        <f t="shared" si="40"/>
        <v>97857.44</v>
      </c>
      <c r="L127" s="117">
        <f t="shared" si="40"/>
        <v>91608.25</v>
      </c>
      <c r="M127" s="117">
        <f t="shared" si="40"/>
        <v>100185.31</v>
      </c>
      <c r="N127" s="117">
        <f t="shared" si="40"/>
        <v>90150.81</v>
      </c>
      <c r="O127" s="117">
        <f t="shared" si="40"/>
        <v>50959.950000000004</v>
      </c>
      <c r="P127" s="117">
        <f t="shared" si="40"/>
        <v>1131380.07</v>
      </c>
      <c r="T127" s="130"/>
    </row>
    <row r="128" spans="1:20" ht="13.5" thickBot="1">
      <c r="A128" s="111"/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40"/>
      <c r="T128" s="130"/>
    </row>
    <row r="129" spans="1:20" ht="12.75">
      <c r="A129" s="112"/>
      <c r="B129" s="116" t="s">
        <v>182</v>
      </c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22"/>
      <c r="T129" s="130"/>
    </row>
    <row r="130" spans="1:20" ht="12.75">
      <c r="A130" s="123"/>
      <c r="B130" s="116" t="s">
        <v>171</v>
      </c>
      <c r="C130" s="117">
        <f aca="true" t="shared" si="41" ref="C130:P130">SUM(C131:C131)</f>
        <v>0</v>
      </c>
      <c r="D130" s="117">
        <f t="shared" si="41"/>
        <v>225020.6</v>
      </c>
      <c r="E130" s="117">
        <f t="shared" si="41"/>
        <v>239150.05</v>
      </c>
      <c r="F130" s="117">
        <f t="shared" si="41"/>
        <v>226466.56</v>
      </c>
      <c r="G130" s="117">
        <f t="shared" si="41"/>
        <v>288925.99</v>
      </c>
      <c r="H130" s="117">
        <f t="shared" si="41"/>
        <v>274709.44</v>
      </c>
      <c r="I130" s="117">
        <f t="shared" si="41"/>
        <v>253050.97</v>
      </c>
      <c r="J130" s="117">
        <f t="shared" si="41"/>
        <v>238874</v>
      </c>
      <c r="K130" s="117">
        <f t="shared" si="41"/>
        <v>252724.87</v>
      </c>
      <c r="L130" s="117">
        <f t="shared" si="41"/>
        <v>283099.91</v>
      </c>
      <c r="M130" s="117">
        <f t="shared" si="41"/>
        <v>283497.34</v>
      </c>
      <c r="N130" s="117">
        <f t="shared" si="41"/>
        <v>311848.68999999994</v>
      </c>
      <c r="O130" s="117">
        <f t="shared" si="41"/>
        <v>266450.27</v>
      </c>
      <c r="P130" s="117">
        <f t="shared" si="41"/>
        <v>3143818.69</v>
      </c>
      <c r="T130" s="130"/>
    </row>
    <row r="131" spans="1:20" ht="12.75">
      <c r="A131" s="123"/>
      <c r="B131" s="119" t="s">
        <v>183</v>
      </c>
      <c r="C131" s="120">
        <v>0</v>
      </c>
      <c r="D131" s="120">
        <v>225020.6</v>
      </c>
      <c r="E131" s="120">
        <v>239150.05</v>
      </c>
      <c r="F131" s="120">
        <v>226466.56</v>
      </c>
      <c r="G131" s="120">
        <v>288925.99</v>
      </c>
      <c r="H131" s="120">
        <v>274709.44</v>
      </c>
      <c r="I131" s="120">
        <v>253050.97</v>
      </c>
      <c r="J131" s="120">
        <v>238874</v>
      </c>
      <c r="K131" s="120">
        <v>252724.87</v>
      </c>
      <c r="L131" s="120">
        <v>283099.91</v>
      </c>
      <c r="M131" s="120">
        <v>283497.34</v>
      </c>
      <c r="N131" s="120">
        <f>578298.96-O131</f>
        <v>311848.68999999994</v>
      </c>
      <c r="O131" s="120">
        <f>5862.94+247549.33+13038</f>
        <v>266450.27</v>
      </c>
      <c r="P131" s="122">
        <f>SUM(C131:O131)</f>
        <v>3143818.69</v>
      </c>
      <c r="T131" s="130"/>
    </row>
    <row r="132" spans="1:20" ht="12.75">
      <c r="A132" s="123" t="s">
        <v>13</v>
      </c>
      <c r="B132" s="116" t="s">
        <v>179</v>
      </c>
      <c r="C132" s="117">
        <f aca="true" t="shared" si="42" ref="C132:P132">SUM(C133:C133)</f>
        <v>0</v>
      </c>
      <c r="D132" s="117">
        <f t="shared" si="42"/>
        <v>0</v>
      </c>
      <c r="E132" s="117">
        <f t="shared" si="42"/>
        <v>0</v>
      </c>
      <c r="F132" s="117">
        <f t="shared" si="42"/>
        <v>1822.76</v>
      </c>
      <c r="G132" s="117">
        <f t="shared" si="42"/>
        <v>0</v>
      </c>
      <c r="H132" s="117">
        <f t="shared" si="42"/>
        <v>0</v>
      </c>
      <c r="I132" s="117">
        <f t="shared" si="42"/>
        <v>0</v>
      </c>
      <c r="J132" s="117">
        <f t="shared" si="42"/>
        <v>0</v>
      </c>
      <c r="K132" s="117">
        <f t="shared" si="42"/>
        <v>0</v>
      </c>
      <c r="L132" s="117">
        <f t="shared" si="42"/>
        <v>0</v>
      </c>
      <c r="M132" s="117">
        <f t="shared" si="42"/>
        <v>0</v>
      </c>
      <c r="N132" s="117">
        <f t="shared" si="42"/>
        <v>0</v>
      </c>
      <c r="O132" s="117">
        <f t="shared" si="42"/>
        <v>0</v>
      </c>
      <c r="P132" s="117">
        <f t="shared" si="42"/>
        <v>1822.76</v>
      </c>
      <c r="T132" s="130"/>
    </row>
    <row r="133" spans="1:20" ht="12.75">
      <c r="A133" s="123"/>
      <c r="B133" s="119" t="s">
        <v>184</v>
      </c>
      <c r="C133" s="120">
        <v>0</v>
      </c>
      <c r="D133" s="120">
        <v>0</v>
      </c>
      <c r="E133" s="120">
        <v>0</v>
      </c>
      <c r="F133" s="120">
        <v>1822.76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2">
        <f>SUM(C133:O133)</f>
        <v>1822.76</v>
      </c>
      <c r="T133" s="130"/>
    </row>
    <row r="134" spans="1:20" ht="13.5" thickBot="1">
      <c r="A134" s="148"/>
      <c r="B134" s="116" t="s">
        <v>185</v>
      </c>
      <c r="C134" s="117">
        <f aca="true" t="shared" si="43" ref="C134:P134">C130+C132</f>
        <v>0</v>
      </c>
      <c r="D134" s="117">
        <f t="shared" si="43"/>
        <v>225020.6</v>
      </c>
      <c r="E134" s="117">
        <f t="shared" si="43"/>
        <v>239150.05</v>
      </c>
      <c r="F134" s="117">
        <f t="shared" si="43"/>
        <v>228289.32</v>
      </c>
      <c r="G134" s="117">
        <f t="shared" si="43"/>
        <v>288925.99</v>
      </c>
      <c r="H134" s="117">
        <f t="shared" si="43"/>
        <v>274709.44</v>
      </c>
      <c r="I134" s="117">
        <f t="shared" si="43"/>
        <v>253050.97</v>
      </c>
      <c r="J134" s="117">
        <f t="shared" si="43"/>
        <v>238874</v>
      </c>
      <c r="K134" s="117">
        <f t="shared" si="43"/>
        <v>252724.87</v>
      </c>
      <c r="L134" s="117">
        <f t="shared" si="43"/>
        <v>283099.91</v>
      </c>
      <c r="M134" s="117">
        <f t="shared" si="43"/>
        <v>283497.34</v>
      </c>
      <c r="N134" s="117">
        <f t="shared" si="43"/>
        <v>311848.68999999994</v>
      </c>
      <c r="O134" s="117">
        <f t="shared" si="43"/>
        <v>266450.27</v>
      </c>
      <c r="P134" s="117">
        <f t="shared" si="43"/>
        <v>3145641.4499999997</v>
      </c>
      <c r="T134" s="130"/>
    </row>
    <row r="135" spans="1:20" ht="13.5" thickBot="1">
      <c r="A135" s="111"/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40"/>
      <c r="T135" s="130"/>
    </row>
    <row r="136" spans="1:20" ht="12.75">
      <c r="A136" s="112"/>
      <c r="B136" s="116" t="s">
        <v>186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22"/>
      <c r="T136" s="130"/>
    </row>
    <row r="137" spans="1:20" ht="12.75">
      <c r="A137" s="149"/>
      <c r="B137" s="116" t="s">
        <v>171</v>
      </c>
      <c r="C137" s="117">
        <f aca="true" t="shared" si="44" ref="C137:P137">SUM(C138:C138)</f>
        <v>0</v>
      </c>
      <c r="D137" s="117">
        <f t="shared" si="44"/>
        <v>5413.59</v>
      </c>
      <c r="E137" s="117">
        <f t="shared" si="44"/>
        <v>0</v>
      </c>
      <c r="F137" s="117">
        <f t="shared" si="44"/>
        <v>0</v>
      </c>
      <c r="G137" s="117">
        <f t="shared" si="44"/>
        <v>0</v>
      </c>
      <c r="H137" s="117">
        <f t="shared" si="44"/>
        <v>0</v>
      </c>
      <c r="I137" s="117">
        <f t="shared" si="44"/>
        <v>0</v>
      </c>
      <c r="J137" s="117">
        <f t="shared" si="44"/>
        <v>0</v>
      </c>
      <c r="K137" s="117">
        <f t="shared" si="44"/>
        <v>54579.81</v>
      </c>
      <c r="L137" s="117">
        <f t="shared" si="44"/>
        <v>761094.14</v>
      </c>
      <c r="M137" s="117">
        <f t="shared" si="44"/>
        <v>56090.1</v>
      </c>
      <c r="N137" s="117">
        <f t="shared" si="44"/>
        <v>56158.42000000004</v>
      </c>
      <c r="O137" s="117">
        <f t="shared" si="44"/>
        <v>787629.44</v>
      </c>
      <c r="P137" s="117">
        <f t="shared" si="44"/>
        <v>1720965.5</v>
      </c>
      <c r="T137" s="130"/>
    </row>
    <row r="138" spans="1:20" ht="12.75">
      <c r="A138" s="123"/>
      <c r="B138" s="119" t="s">
        <v>187</v>
      </c>
      <c r="C138" s="120">
        <v>0</v>
      </c>
      <c r="D138" s="120">
        <v>5413.59</v>
      </c>
      <c r="E138" s="120">
        <v>0</v>
      </c>
      <c r="F138" s="120">
        <v>0</v>
      </c>
      <c r="G138" s="120">
        <v>0</v>
      </c>
      <c r="H138" s="120">
        <v>0</v>
      </c>
      <c r="I138" s="120">
        <v>0</v>
      </c>
      <c r="J138" s="120">
        <v>0</v>
      </c>
      <c r="K138" s="120">
        <v>54579.81</v>
      </c>
      <c r="L138" s="120">
        <v>761094.14</v>
      </c>
      <c r="M138" s="120">
        <v>56090.1</v>
      </c>
      <c r="N138" s="120">
        <f>843787.86-O138</f>
        <v>56158.42000000004</v>
      </c>
      <c r="O138" s="120">
        <f>719651.76+67977.68</f>
        <v>787629.44</v>
      </c>
      <c r="P138" s="122">
        <f>SUM(C138:O138)</f>
        <v>1720965.5</v>
      </c>
      <c r="Q138" s="220"/>
      <c r="T138" s="130"/>
    </row>
    <row r="139" spans="1:20" ht="12.75">
      <c r="A139" s="123" t="s">
        <v>14</v>
      </c>
      <c r="B139" s="116" t="s">
        <v>179</v>
      </c>
      <c r="C139" s="117">
        <f aca="true" t="shared" si="45" ref="C139:P139">SUM(C140:C140)</f>
        <v>0</v>
      </c>
      <c r="D139" s="117">
        <f t="shared" si="45"/>
        <v>6775.34</v>
      </c>
      <c r="E139" s="117">
        <f t="shared" si="45"/>
        <v>0</v>
      </c>
      <c r="F139" s="117">
        <f t="shared" si="45"/>
        <v>0</v>
      </c>
      <c r="G139" s="117">
        <f t="shared" si="45"/>
        <v>0</v>
      </c>
      <c r="H139" s="117">
        <v>0</v>
      </c>
      <c r="I139" s="117">
        <f t="shared" si="45"/>
        <v>0</v>
      </c>
      <c r="J139" s="117">
        <f t="shared" si="45"/>
        <v>0</v>
      </c>
      <c r="K139" s="117">
        <f t="shared" si="45"/>
        <v>0</v>
      </c>
      <c r="L139" s="117">
        <f t="shared" si="45"/>
        <v>6569.28</v>
      </c>
      <c r="M139" s="117">
        <f t="shared" si="45"/>
        <v>0</v>
      </c>
      <c r="N139" s="117">
        <f t="shared" si="45"/>
        <v>0</v>
      </c>
      <c r="O139" s="117">
        <f t="shared" si="45"/>
        <v>0</v>
      </c>
      <c r="P139" s="117">
        <f t="shared" si="45"/>
        <v>13344.619999999999</v>
      </c>
      <c r="T139" s="130"/>
    </row>
    <row r="140" spans="1:20" ht="12.75">
      <c r="A140" s="118"/>
      <c r="B140" s="119" t="s">
        <v>188</v>
      </c>
      <c r="C140" s="120">
        <v>0</v>
      </c>
      <c r="D140" s="120">
        <v>6775.34</v>
      </c>
      <c r="E140" s="120">
        <v>0</v>
      </c>
      <c r="F140" s="120">
        <v>0</v>
      </c>
      <c r="G140" s="120">
        <v>0</v>
      </c>
      <c r="H140" s="120">
        <v>0</v>
      </c>
      <c r="I140" s="120">
        <v>0</v>
      </c>
      <c r="J140" s="120">
        <v>0</v>
      </c>
      <c r="K140" s="120">
        <v>0</v>
      </c>
      <c r="L140" s="120">
        <v>6569.28</v>
      </c>
      <c r="M140" s="120">
        <v>0</v>
      </c>
      <c r="N140" s="120">
        <v>0</v>
      </c>
      <c r="O140" s="120">
        <v>0</v>
      </c>
      <c r="P140" s="122">
        <f>SUM(C140:O140)</f>
        <v>13344.619999999999</v>
      </c>
      <c r="T140" s="130"/>
    </row>
    <row r="141" spans="1:20" ht="13.5" thickBot="1">
      <c r="A141" s="154"/>
      <c r="B141" s="116" t="s">
        <v>189</v>
      </c>
      <c r="C141" s="117">
        <f aca="true" t="shared" si="46" ref="C141:P141">C137+C139</f>
        <v>0</v>
      </c>
      <c r="D141" s="117">
        <f t="shared" si="46"/>
        <v>12188.93</v>
      </c>
      <c r="E141" s="117">
        <f t="shared" si="46"/>
        <v>0</v>
      </c>
      <c r="F141" s="117">
        <f t="shared" si="46"/>
        <v>0</v>
      </c>
      <c r="G141" s="117">
        <f t="shared" si="46"/>
        <v>0</v>
      </c>
      <c r="H141" s="117">
        <f t="shared" si="46"/>
        <v>0</v>
      </c>
      <c r="I141" s="117">
        <f t="shared" si="46"/>
        <v>0</v>
      </c>
      <c r="J141" s="117">
        <f t="shared" si="46"/>
        <v>0</v>
      </c>
      <c r="K141" s="117">
        <f t="shared" si="46"/>
        <v>54579.81</v>
      </c>
      <c r="L141" s="117">
        <f t="shared" si="46"/>
        <v>767663.42</v>
      </c>
      <c r="M141" s="117">
        <f t="shared" si="46"/>
        <v>56090.1</v>
      </c>
      <c r="N141" s="117">
        <f t="shared" si="46"/>
        <v>56158.42000000004</v>
      </c>
      <c r="O141" s="117">
        <f t="shared" si="46"/>
        <v>787629.44</v>
      </c>
      <c r="P141" s="117">
        <f t="shared" si="46"/>
        <v>1734310.12</v>
      </c>
      <c r="T141" s="130"/>
    </row>
    <row r="142" spans="1:20" ht="13.5" thickBot="1">
      <c r="A142" s="111"/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40"/>
      <c r="T142" s="130"/>
    </row>
    <row r="143" spans="1:20" ht="12.75">
      <c r="A143" s="112"/>
      <c r="B143" s="116" t="s">
        <v>190</v>
      </c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22"/>
      <c r="T143" s="130"/>
    </row>
    <row r="144" spans="1:20" ht="12.75">
      <c r="A144" s="149"/>
      <c r="B144" s="116" t="s">
        <v>171</v>
      </c>
      <c r="C144" s="117">
        <f aca="true" t="shared" si="47" ref="C144:O144">SUM(C145:C145)</f>
        <v>0</v>
      </c>
      <c r="D144" s="117">
        <f t="shared" si="47"/>
        <v>145652.43</v>
      </c>
      <c r="E144" s="117">
        <f t="shared" si="47"/>
        <v>170406.41</v>
      </c>
      <c r="F144" s="117">
        <f t="shared" si="47"/>
        <v>203962.12</v>
      </c>
      <c r="G144" s="117">
        <f t="shared" si="47"/>
        <v>177133</v>
      </c>
      <c r="H144" s="117">
        <f t="shared" si="47"/>
        <v>204939.2</v>
      </c>
      <c r="I144" s="117">
        <f t="shared" si="47"/>
        <v>152142.39</v>
      </c>
      <c r="J144" s="117">
        <f t="shared" si="47"/>
        <v>248400.29</v>
      </c>
      <c r="K144" s="117">
        <f t="shared" si="47"/>
        <v>225801.57</v>
      </c>
      <c r="L144" s="117">
        <f t="shared" si="47"/>
        <v>216643.23</v>
      </c>
      <c r="M144" s="117">
        <f t="shared" si="47"/>
        <v>231983.51</v>
      </c>
      <c r="N144" s="117">
        <f t="shared" si="47"/>
        <v>184076.18</v>
      </c>
      <c r="O144" s="117">
        <f t="shared" si="47"/>
        <v>138886.64</v>
      </c>
      <c r="P144" s="132">
        <f>SUM(P145)</f>
        <v>2300026.97</v>
      </c>
      <c r="T144" s="130"/>
    </row>
    <row r="145" spans="1:20" ht="12.75">
      <c r="A145" s="123"/>
      <c r="B145" s="119" t="s">
        <v>191</v>
      </c>
      <c r="C145" s="120">
        <v>0</v>
      </c>
      <c r="D145" s="120">
        <v>145652.43</v>
      </c>
      <c r="E145" s="120">
        <v>170406.41</v>
      </c>
      <c r="F145" s="120">
        <v>203962.12</v>
      </c>
      <c r="G145" s="120">
        <v>177133</v>
      </c>
      <c r="H145" s="120">
        <v>204939.2</v>
      </c>
      <c r="I145" s="120">
        <v>152142.39</v>
      </c>
      <c r="J145" s="120">
        <v>248400.29</v>
      </c>
      <c r="K145" s="120">
        <v>225801.57</v>
      </c>
      <c r="L145" s="120">
        <v>216643.23</v>
      </c>
      <c r="M145" s="120">
        <v>231983.51</v>
      </c>
      <c r="N145" s="120">
        <f>322962.82-O145</f>
        <v>184076.18</v>
      </c>
      <c r="O145" s="120">
        <f>15686.25+123200.39</f>
        <v>138886.64</v>
      </c>
      <c r="P145" s="122">
        <f>SUM(C145:O145)</f>
        <v>2300026.97</v>
      </c>
      <c r="T145" s="130"/>
    </row>
    <row r="146" spans="1:20" ht="12.75">
      <c r="A146" s="123" t="s">
        <v>15</v>
      </c>
      <c r="B146" s="116" t="s">
        <v>179</v>
      </c>
      <c r="C146" s="117">
        <f aca="true" t="shared" si="48" ref="C146:I146">SUM(C147:C147)</f>
        <v>34866.15</v>
      </c>
      <c r="D146" s="117">
        <f t="shared" si="48"/>
        <v>0</v>
      </c>
      <c r="E146" s="117">
        <f t="shared" si="48"/>
        <v>0</v>
      </c>
      <c r="F146" s="117">
        <f t="shared" si="48"/>
        <v>0</v>
      </c>
      <c r="G146" s="117">
        <f t="shared" si="48"/>
        <v>0</v>
      </c>
      <c r="H146" s="117">
        <f t="shared" si="48"/>
        <v>0</v>
      </c>
      <c r="I146" s="117">
        <f t="shared" si="48"/>
        <v>0</v>
      </c>
      <c r="J146" s="117">
        <v>0</v>
      </c>
      <c r="K146" s="117">
        <f aca="true" t="shared" si="49" ref="K146:P146">SUM(K147:K147)</f>
        <v>0</v>
      </c>
      <c r="L146" s="117">
        <f t="shared" si="49"/>
        <v>0</v>
      </c>
      <c r="M146" s="117">
        <f t="shared" si="49"/>
        <v>0</v>
      </c>
      <c r="N146" s="117">
        <f t="shared" si="49"/>
        <v>0</v>
      </c>
      <c r="O146" s="117">
        <f t="shared" si="49"/>
        <v>0</v>
      </c>
      <c r="P146" s="117">
        <f t="shared" si="49"/>
        <v>34866.15</v>
      </c>
      <c r="T146" s="130"/>
    </row>
    <row r="147" spans="1:20" ht="12.75">
      <c r="A147" s="123"/>
      <c r="B147" s="119" t="s">
        <v>192</v>
      </c>
      <c r="C147" s="120">
        <v>34866.15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2">
        <f>SUM(C147:O147)</f>
        <v>34866.15</v>
      </c>
      <c r="T147" s="130"/>
    </row>
    <row r="148" spans="1:20" ht="12.75">
      <c r="A148" s="123"/>
      <c r="B148" s="116" t="s">
        <v>193</v>
      </c>
      <c r="C148" s="117">
        <f aca="true" t="shared" si="50" ref="C148:P148">SUM(C149:C149)</f>
        <v>0</v>
      </c>
      <c r="D148" s="117">
        <f t="shared" si="50"/>
        <v>0</v>
      </c>
      <c r="E148" s="117">
        <f t="shared" si="50"/>
        <v>0</v>
      </c>
      <c r="F148" s="117">
        <f t="shared" si="50"/>
        <v>0</v>
      </c>
      <c r="G148" s="117">
        <f t="shared" si="50"/>
        <v>0</v>
      </c>
      <c r="H148" s="117">
        <f t="shared" si="50"/>
        <v>0</v>
      </c>
      <c r="I148" s="117">
        <f t="shared" si="50"/>
        <v>0</v>
      </c>
      <c r="J148" s="117">
        <f t="shared" si="50"/>
        <v>0</v>
      </c>
      <c r="K148" s="117">
        <f t="shared" si="50"/>
        <v>0</v>
      </c>
      <c r="L148" s="117">
        <f t="shared" si="50"/>
        <v>0</v>
      </c>
      <c r="M148" s="117">
        <f t="shared" si="50"/>
        <v>0</v>
      </c>
      <c r="N148" s="117">
        <f t="shared" si="50"/>
        <v>0</v>
      </c>
      <c r="O148" s="117">
        <f t="shared" si="50"/>
        <v>0</v>
      </c>
      <c r="P148" s="117">
        <f t="shared" si="50"/>
        <v>0</v>
      </c>
      <c r="T148" s="130"/>
    </row>
    <row r="149" spans="1:20" ht="12.75">
      <c r="A149" s="118"/>
      <c r="B149" s="119" t="s">
        <v>194</v>
      </c>
      <c r="C149" s="120">
        <v>0</v>
      </c>
      <c r="D149" s="120">
        <v>0</v>
      </c>
      <c r="E149" s="120">
        <v>0</v>
      </c>
      <c r="F149" s="120">
        <v>0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2">
        <f>SUM(C149:O149)</f>
        <v>0</v>
      </c>
      <c r="T149" s="130"/>
    </row>
    <row r="150" spans="1:20" ht="12.75">
      <c r="A150" s="118"/>
      <c r="B150" s="116" t="s">
        <v>195</v>
      </c>
      <c r="C150" s="117">
        <f aca="true" t="shared" si="51" ref="C150:P150">SUM(C151:C151)</f>
        <v>0</v>
      </c>
      <c r="D150" s="117">
        <f t="shared" si="51"/>
        <v>0</v>
      </c>
      <c r="E150" s="117">
        <f t="shared" si="51"/>
        <v>0</v>
      </c>
      <c r="F150" s="117">
        <f t="shared" si="51"/>
        <v>0</v>
      </c>
      <c r="G150" s="117">
        <f t="shared" si="51"/>
        <v>0</v>
      </c>
      <c r="H150" s="117">
        <f t="shared" si="51"/>
        <v>0</v>
      </c>
      <c r="I150" s="117">
        <f t="shared" si="51"/>
        <v>0</v>
      </c>
      <c r="J150" s="117">
        <f t="shared" si="51"/>
        <v>0</v>
      </c>
      <c r="K150" s="117">
        <f t="shared" si="51"/>
        <v>0</v>
      </c>
      <c r="L150" s="117">
        <f t="shared" si="51"/>
        <v>0</v>
      </c>
      <c r="M150" s="117">
        <f t="shared" si="51"/>
        <v>0</v>
      </c>
      <c r="N150" s="117">
        <f t="shared" si="51"/>
        <v>0</v>
      </c>
      <c r="O150" s="117">
        <f t="shared" si="51"/>
        <v>0</v>
      </c>
      <c r="P150" s="117">
        <f t="shared" si="51"/>
        <v>0</v>
      </c>
      <c r="T150" s="130"/>
    </row>
    <row r="151" spans="1:20" ht="12.75">
      <c r="A151" s="118"/>
      <c r="B151" s="119" t="s">
        <v>196</v>
      </c>
      <c r="C151" s="120">
        <v>0</v>
      </c>
      <c r="D151" s="120">
        <v>0</v>
      </c>
      <c r="E151" s="120">
        <v>0</v>
      </c>
      <c r="F151" s="120">
        <v>0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2">
        <f>SUM(C151:O151)</f>
        <v>0</v>
      </c>
      <c r="T151" s="130"/>
    </row>
    <row r="152" spans="1:20" ht="13.5" thickBot="1">
      <c r="A152" s="154"/>
      <c r="B152" s="116" t="s">
        <v>197</v>
      </c>
      <c r="C152" s="117">
        <f aca="true" t="shared" si="52" ref="C152:H152">C144+C146+C148+C150</f>
        <v>34866.15</v>
      </c>
      <c r="D152" s="117">
        <f t="shared" si="52"/>
        <v>145652.43</v>
      </c>
      <c r="E152" s="117">
        <f t="shared" si="52"/>
        <v>170406.41</v>
      </c>
      <c r="F152" s="117">
        <f t="shared" si="52"/>
        <v>203962.12</v>
      </c>
      <c r="G152" s="117">
        <f t="shared" si="52"/>
        <v>177133</v>
      </c>
      <c r="H152" s="117">
        <f t="shared" si="52"/>
        <v>204939.2</v>
      </c>
      <c r="I152" s="117">
        <f aca="true" t="shared" si="53" ref="I152:O152">I144+I146+I148</f>
        <v>152142.39</v>
      </c>
      <c r="J152" s="117">
        <f t="shared" si="53"/>
        <v>248400.29</v>
      </c>
      <c r="K152" s="117">
        <f t="shared" si="53"/>
        <v>225801.57</v>
      </c>
      <c r="L152" s="117">
        <f t="shared" si="53"/>
        <v>216643.23</v>
      </c>
      <c r="M152" s="117">
        <f t="shared" si="53"/>
        <v>231983.51</v>
      </c>
      <c r="N152" s="117">
        <f t="shared" si="53"/>
        <v>184076.18</v>
      </c>
      <c r="O152" s="117">
        <f t="shared" si="53"/>
        <v>138886.64</v>
      </c>
      <c r="P152" s="117">
        <f>P144+P146+P148+P150</f>
        <v>2334893.12</v>
      </c>
      <c r="T152" s="130"/>
    </row>
    <row r="153" spans="1:20" ht="13.5" thickBot="1">
      <c r="A153" s="111"/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40"/>
      <c r="T153" s="130"/>
    </row>
    <row r="154" spans="1:20" ht="12.75">
      <c r="A154" s="112"/>
      <c r="B154" s="116" t="s">
        <v>198</v>
      </c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22"/>
      <c r="T154" s="130"/>
    </row>
    <row r="155" spans="1:20" ht="12.75">
      <c r="A155" s="115"/>
      <c r="B155" s="116" t="s">
        <v>199</v>
      </c>
      <c r="C155" s="117">
        <f aca="true" t="shared" si="54" ref="C155:P155">SUM(C156)</f>
        <v>0</v>
      </c>
      <c r="D155" s="117">
        <f t="shared" si="54"/>
        <v>0</v>
      </c>
      <c r="E155" s="117">
        <f t="shared" si="54"/>
        <v>0</v>
      </c>
      <c r="F155" s="117">
        <f t="shared" si="54"/>
        <v>0</v>
      </c>
      <c r="G155" s="117">
        <f t="shared" si="54"/>
        <v>0</v>
      </c>
      <c r="H155" s="117">
        <f t="shared" si="54"/>
        <v>0</v>
      </c>
      <c r="I155" s="117">
        <f t="shared" si="54"/>
        <v>0</v>
      </c>
      <c r="J155" s="117">
        <f t="shared" si="54"/>
        <v>0</v>
      </c>
      <c r="K155" s="117">
        <f t="shared" si="54"/>
        <v>0</v>
      </c>
      <c r="L155" s="117">
        <f t="shared" si="54"/>
        <v>48500</v>
      </c>
      <c r="M155" s="117">
        <f t="shared" si="54"/>
        <v>0</v>
      </c>
      <c r="N155" s="117">
        <f t="shared" si="54"/>
        <v>83520</v>
      </c>
      <c r="O155" s="117">
        <f t="shared" si="54"/>
        <v>446266.65</v>
      </c>
      <c r="P155" s="117">
        <f t="shared" si="54"/>
        <v>578286.65</v>
      </c>
      <c r="T155" s="130"/>
    </row>
    <row r="156" spans="1:20" ht="12.75">
      <c r="A156" s="115"/>
      <c r="B156" s="119" t="s">
        <v>200</v>
      </c>
      <c r="C156" s="120">
        <v>0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48500</v>
      </c>
      <c r="M156" s="120">
        <v>0</v>
      </c>
      <c r="N156" s="120">
        <f>529786.65-O156</f>
        <v>83520</v>
      </c>
      <c r="O156" s="120">
        <f>200766.65+200000+45500</f>
        <v>446266.65</v>
      </c>
      <c r="P156" s="122">
        <f>SUM(C156:O156)</f>
        <v>578286.65</v>
      </c>
      <c r="T156" s="130"/>
    </row>
    <row r="157" spans="1:20" s="125" customFormat="1" ht="12.75">
      <c r="A157" s="115"/>
      <c r="B157" s="116" t="s">
        <v>169</v>
      </c>
      <c r="C157" s="117">
        <f>SUM(C158)</f>
        <v>0</v>
      </c>
      <c r="D157" s="117">
        <f aca="true" t="shared" si="55" ref="D157:P157">SUM(D158)</f>
        <v>0</v>
      </c>
      <c r="E157" s="117">
        <f t="shared" si="55"/>
        <v>0</v>
      </c>
      <c r="F157" s="117">
        <f t="shared" si="55"/>
        <v>0</v>
      </c>
      <c r="G157" s="117">
        <f t="shared" si="55"/>
        <v>0</v>
      </c>
      <c r="H157" s="117">
        <f t="shared" si="55"/>
        <v>0</v>
      </c>
      <c r="I157" s="117">
        <f t="shared" si="55"/>
        <v>0</v>
      </c>
      <c r="J157" s="117">
        <f t="shared" si="55"/>
        <v>0</v>
      </c>
      <c r="K157" s="117">
        <f t="shared" si="55"/>
        <v>0</v>
      </c>
      <c r="L157" s="117">
        <f t="shared" si="55"/>
        <v>0</v>
      </c>
      <c r="M157" s="117">
        <f t="shared" si="55"/>
        <v>0</v>
      </c>
      <c r="N157" s="117">
        <f t="shared" si="55"/>
        <v>0</v>
      </c>
      <c r="O157" s="117">
        <f t="shared" si="55"/>
        <v>0</v>
      </c>
      <c r="P157" s="117">
        <f t="shared" si="55"/>
        <v>0</v>
      </c>
      <c r="R157" s="152"/>
      <c r="T157" s="152"/>
    </row>
    <row r="158" spans="1:20" ht="12.75">
      <c r="A158" s="115"/>
      <c r="B158" s="119" t="s">
        <v>522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2">
        <f>SUM(C158:O158)</f>
        <v>0</v>
      </c>
      <c r="T158" s="130"/>
    </row>
    <row r="159" spans="1:20" ht="12.75">
      <c r="A159" s="115"/>
      <c r="B159" s="116" t="s">
        <v>201</v>
      </c>
      <c r="C159" s="117">
        <f aca="true" t="shared" si="56" ref="C159:P159">SUM(C160)</f>
        <v>0</v>
      </c>
      <c r="D159" s="117">
        <f t="shared" si="56"/>
        <v>0</v>
      </c>
      <c r="E159" s="117">
        <f t="shared" si="56"/>
        <v>0</v>
      </c>
      <c r="F159" s="117">
        <f t="shared" si="56"/>
        <v>0</v>
      </c>
      <c r="G159" s="117">
        <f t="shared" si="56"/>
        <v>0</v>
      </c>
      <c r="H159" s="117">
        <f t="shared" si="56"/>
        <v>0</v>
      </c>
      <c r="I159" s="117">
        <f t="shared" si="56"/>
        <v>0</v>
      </c>
      <c r="J159" s="117">
        <f t="shared" si="56"/>
        <v>0</v>
      </c>
      <c r="K159" s="117">
        <f t="shared" si="56"/>
        <v>0</v>
      </c>
      <c r="L159" s="117">
        <f t="shared" si="56"/>
        <v>0</v>
      </c>
      <c r="M159" s="117">
        <f t="shared" si="56"/>
        <v>0</v>
      </c>
      <c r="N159" s="117">
        <f t="shared" si="56"/>
        <v>0</v>
      </c>
      <c r="O159" s="117">
        <f t="shared" si="56"/>
        <v>0</v>
      </c>
      <c r="P159" s="117">
        <f t="shared" si="56"/>
        <v>0</v>
      </c>
      <c r="T159" s="130"/>
    </row>
    <row r="160" spans="1:20" ht="12.75">
      <c r="A160" s="115"/>
      <c r="B160" s="119" t="s">
        <v>202</v>
      </c>
      <c r="C160" s="120">
        <v>0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2">
        <f>SUM(C160:O160)</f>
        <v>0</v>
      </c>
      <c r="T160" s="130"/>
    </row>
    <row r="161" spans="1:20" ht="12.75">
      <c r="A161" s="149"/>
      <c r="B161" s="116" t="s">
        <v>171</v>
      </c>
      <c r="C161" s="117">
        <f>SUM(C162:C169)</f>
        <v>10116.13</v>
      </c>
      <c r="D161" s="117">
        <f>SUM(D162:D169)</f>
        <v>86708.64000000001</v>
      </c>
      <c r="E161" s="117">
        <f>SUM(E162:E169)</f>
        <v>193715.46000000002</v>
      </c>
      <c r="F161" s="117">
        <f aca="true" t="shared" si="57" ref="F161:P161">SUM(F162:F169)</f>
        <v>212480.6</v>
      </c>
      <c r="G161" s="117">
        <f t="shared" si="57"/>
        <v>357580.25</v>
      </c>
      <c r="H161" s="117">
        <f t="shared" si="57"/>
        <v>111915.78</v>
      </c>
      <c r="I161" s="117">
        <f t="shared" si="57"/>
        <v>235665.78</v>
      </c>
      <c r="J161" s="117">
        <f t="shared" si="57"/>
        <v>254897.31</v>
      </c>
      <c r="K161" s="117">
        <f t="shared" si="57"/>
        <v>301076.91</v>
      </c>
      <c r="L161" s="117">
        <f t="shared" si="57"/>
        <v>577744.48</v>
      </c>
      <c r="M161" s="117">
        <f t="shared" si="57"/>
        <v>94894.34</v>
      </c>
      <c r="N161" s="117">
        <f t="shared" si="57"/>
        <v>270828.79</v>
      </c>
      <c r="O161" s="117">
        <f t="shared" si="57"/>
        <v>510660.89</v>
      </c>
      <c r="P161" s="117">
        <f t="shared" si="57"/>
        <v>3218285.36</v>
      </c>
      <c r="T161" s="130"/>
    </row>
    <row r="162" spans="1:20" ht="12.75">
      <c r="A162" s="123" t="s">
        <v>16</v>
      </c>
      <c r="B162" s="119" t="s">
        <v>203</v>
      </c>
      <c r="C162" s="120">
        <v>10116.13</v>
      </c>
      <c r="D162" s="120">
        <v>47850.69</v>
      </c>
      <c r="E162" s="120">
        <v>20096.83</v>
      </c>
      <c r="F162" s="120">
        <v>56004.55</v>
      </c>
      <c r="G162" s="120">
        <v>67450.69</v>
      </c>
      <c r="H162" s="120">
        <v>19600</v>
      </c>
      <c r="I162" s="120">
        <v>993.66</v>
      </c>
      <c r="J162" s="120">
        <v>67450.69</v>
      </c>
      <c r="K162" s="120">
        <v>104549.81</v>
      </c>
      <c r="L162" s="120">
        <v>20791.4</v>
      </c>
      <c r="M162" s="120">
        <v>77331.75</v>
      </c>
      <c r="N162" s="120">
        <f>101493.35-O162</f>
        <v>21327.20000000001</v>
      </c>
      <c r="O162" s="120">
        <f>46851+33315.15</f>
        <v>80166.15</v>
      </c>
      <c r="P162" s="122">
        <f aca="true" t="shared" si="58" ref="P162:P169">SUM(C162:O162)</f>
        <v>593729.55</v>
      </c>
      <c r="T162" s="130"/>
    </row>
    <row r="163" spans="1:20" ht="12.75">
      <c r="A163" s="123"/>
      <c r="B163" s="119" t="s">
        <v>204</v>
      </c>
      <c r="C163" s="120">
        <v>0</v>
      </c>
      <c r="D163" s="120">
        <v>0</v>
      </c>
      <c r="E163" s="120">
        <v>0</v>
      </c>
      <c r="F163" s="120">
        <v>0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/>
      <c r="P163" s="122">
        <f t="shared" si="58"/>
        <v>0</v>
      </c>
      <c r="T163" s="130"/>
    </row>
    <row r="164" spans="1:20" ht="12.75">
      <c r="A164" s="123"/>
      <c r="B164" s="119" t="s">
        <v>205</v>
      </c>
      <c r="C164" s="120">
        <v>0</v>
      </c>
      <c r="D164" s="120">
        <v>0</v>
      </c>
      <c r="E164" s="120">
        <v>84831.69</v>
      </c>
      <c r="F164" s="120">
        <v>0</v>
      </c>
      <c r="G164" s="120">
        <v>193878.84</v>
      </c>
      <c r="H164" s="120">
        <v>0</v>
      </c>
      <c r="I164" s="120">
        <v>193878.84</v>
      </c>
      <c r="J164" s="120">
        <v>102790.89</v>
      </c>
      <c r="K164" s="120">
        <v>126380.91</v>
      </c>
      <c r="L164" s="120">
        <v>336618.61</v>
      </c>
      <c r="M164" s="120">
        <v>0</v>
      </c>
      <c r="N164" s="120">
        <f>429965-O164</f>
        <v>115158.06</v>
      </c>
      <c r="O164" s="120">
        <f>83965+223841.94+7000</f>
        <v>314806.94</v>
      </c>
      <c r="P164" s="122">
        <f t="shared" si="58"/>
        <v>1468344.78</v>
      </c>
      <c r="T164" s="130"/>
    </row>
    <row r="165" spans="1:20" ht="12.75">
      <c r="A165" s="123"/>
      <c r="B165" s="119" t="s">
        <v>206</v>
      </c>
      <c r="C165" s="120">
        <v>0</v>
      </c>
      <c r="D165" s="120">
        <v>1180.16</v>
      </c>
      <c r="E165" s="120">
        <v>1180.16</v>
      </c>
      <c r="F165" s="120">
        <v>1209.64</v>
      </c>
      <c r="G165" s="120">
        <v>1239.12</v>
      </c>
      <c r="H165" s="120">
        <v>1239.12</v>
      </c>
      <c r="I165" s="120">
        <v>0</v>
      </c>
      <c r="J165" s="120">
        <v>1239.12</v>
      </c>
      <c r="K165" s="120">
        <v>1239.12</v>
      </c>
      <c r="L165" s="120">
        <v>1268.6</v>
      </c>
      <c r="M165" s="120">
        <v>1370.05</v>
      </c>
      <c r="N165" s="120">
        <f>2347.31-O165</f>
        <v>1370.05</v>
      </c>
      <c r="O165" s="120">
        <v>977.26</v>
      </c>
      <c r="P165" s="122">
        <f t="shared" si="58"/>
        <v>13512.399999999998</v>
      </c>
      <c r="T165" s="130"/>
    </row>
    <row r="166" spans="1:20" ht="12.75">
      <c r="A166" s="123"/>
      <c r="B166" s="119" t="s">
        <v>207</v>
      </c>
      <c r="C166" s="120">
        <v>0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120">
        <v>495</v>
      </c>
      <c r="J166" s="120">
        <v>0</v>
      </c>
      <c r="K166" s="120">
        <v>0</v>
      </c>
      <c r="L166" s="120">
        <v>0</v>
      </c>
      <c r="M166" s="120">
        <v>0</v>
      </c>
      <c r="N166" s="120">
        <f>21000-O166</f>
        <v>0</v>
      </c>
      <c r="O166" s="120">
        <v>21000</v>
      </c>
      <c r="P166" s="122">
        <f t="shared" si="58"/>
        <v>21495</v>
      </c>
      <c r="T166" s="130"/>
    </row>
    <row r="167" spans="1:20" ht="12.75">
      <c r="A167" s="123"/>
      <c r="B167" s="119" t="s">
        <v>208</v>
      </c>
      <c r="C167" s="120">
        <v>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/>
      <c r="P167" s="122">
        <f t="shared" si="58"/>
        <v>0</v>
      </c>
      <c r="T167" s="130"/>
    </row>
    <row r="168" spans="1:20" ht="12.75">
      <c r="A168" s="123"/>
      <c r="B168" s="119" t="s">
        <v>209</v>
      </c>
      <c r="C168" s="120">
        <v>0</v>
      </c>
      <c r="D168" s="120">
        <v>0</v>
      </c>
      <c r="E168" s="120">
        <v>0</v>
      </c>
      <c r="F168" s="120">
        <v>0</v>
      </c>
      <c r="G168" s="120">
        <v>0</v>
      </c>
      <c r="H168" s="120">
        <v>0</v>
      </c>
      <c r="I168" s="120">
        <v>0</v>
      </c>
      <c r="J168" s="120">
        <v>380</v>
      </c>
      <c r="K168" s="120">
        <v>4320</v>
      </c>
      <c r="L168" s="120">
        <v>0</v>
      </c>
      <c r="M168" s="120">
        <v>0</v>
      </c>
      <c r="N168" s="120">
        <v>0</v>
      </c>
      <c r="O168" s="120"/>
      <c r="P168" s="122">
        <f t="shared" si="58"/>
        <v>4700</v>
      </c>
      <c r="T168" s="130"/>
    </row>
    <row r="169" spans="1:20" ht="12.75">
      <c r="A169" s="123"/>
      <c r="B169" s="119" t="s">
        <v>210</v>
      </c>
      <c r="C169" s="120">
        <v>0</v>
      </c>
      <c r="D169" s="120">
        <v>37677.79</v>
      </c>
      <c r="E169" s="120">
        <v>87606.78</v>
      </c>
      <c r="F169" s="120">
        <v>155266.41</v>
      </c>
      <c r="G169" s="120">
        <v>95011.6</v>
      </c>
      <c r="H169" s="120">
        <v>91076.66</v>
      </c>
      <c r="I169" s="120">
        <v>40298.28</v>
      </c>
      <c r="J169" s="120">
        <v>83036.61</v>
      </c>
      <c r="K169" s="120">
        <v>64587.07</v>
      </c>
      <c r="L169" s="120">
        <v>219065.87</v>
      </c>
      <c r="M169" s="120">
        <v>16192.54</v>
      </c>
      <c r="N169" s="120">
        <f>226684.02-O169</f>
        <v>132973.47999999998</v>
      </c>
      <c r="O169" s="120">
        <f>89543.41+4167.13</f>
        <v>93710.54000000001</v>
      </c>
      <c r="P169" s="122">
        <f t="shared" si="58"/>
        <v>1116503.63</v>
      </c>
      <c r="T169" s="130"/>
    </row>
    <row r="170" spans="1:20" ht="12.75">
      <c r="A170" s="123"/>
      <c r="B170" s="116" t="s">
        <v>141</v>
      </c>
      <c r="C170" s="117">
        <f aca="true" t="shared" si="59" ref="C170:P170">SUM(C171:C175)</f>
        <v>30713.01</v>
      </c>
      <c r="D170" s="117">
        <f t="shared" si="59"/>
        <v>0</v>
      </c>
      <c r="E170" s="117">
        <f t="shared" si="59"/>
        <v>0</v>
      </c>
      <c r="F170" s="117">
        <f t="shared" si="59"/>
        <v>0</v>
      </c>
      <c r="G170" s="117">
        <f t="shared" si="59"/>
        <v>0</v>
      </c>
      <c r="H170" s="117">
        <f t="shared" si="59"/>
        <v>0</v>
      </c>
      <c r="I170" s="117">
        <f t="shared" si="59"/>
        <v>0</v>
      </c>
      <c r="J170" s="117">
        <f t="shared" si="59"/>
        <v>0</v>
      </c>
      <c r="K170" s="117">
        <f t="shared" si="59"/>
        <v>0</v>
      </c>
      <c r="L170" s="117">
        <f t="shared" si="59"/>
        <v>0</v>
      </c>
      <c r="M170" s="117">
        <f t="shared" si="59"/>
        <v>0</v>
      </c>
      <c r="N170" s="117">
        <f t="shared" si="59"/>
        <v>0</v>
      </c>
      <c r="O170" s="117">
        <f t="shared" si="59"/>
        <v>0</v>
      </c>
      <c r="P170" s="117">
        <f t="shared" si="59"/>
        <v>30713.01</v>
      </c>
      <c r="T170" s="130"/>
    </row>
    <row r="171" spans="1:20" s="103" customFormat="1" ht="12.75">
      <c r="A171" s="156"/>
      <c r="B171" s="124" t="s">
        <v>211</v>
      </c>
      <c r="C171" s="133">
        <v>30713.01</v>
      </c>
      <c r="D171" s="133">
        <v>0</v>
      </c>
      <c r="E171" s="133">
        <v>0</v>
      </c>
      <c r="F171" s="133">
        <v>0</v>
      </c>
      <c r="G171" s="133">
        <v>0</v>
      </c>
      <c r="H171" s="133">
        <v>0</v>
      </c>
      <c r="I171" s="133">
        <v>0</v>
      </c>
      <c r="J171" s="133">
        <v>0</v>
      </c>
      <c r="K171" s="133">
        <v>0</v>
      </c>
      <c r="L171" s="133">
        <v>0</v>
      </c>
      <c r="M171" s="133">
        <v>0</v>
      </c>
      <c r="N171" s="133">
        <v>0</v>
      </c>
      <c r="O171" s="133">
        <v>0</v>
      </c>
      <c r="P171" s="122">
        <f>SUM(C171:O171)</f>
        <v>30713.01</v>
      </c>
      <c r="R171" s="20"/>
      <c r="T171" s="20"/>
    </row>
    <row r="172" spans="1:20" s="103" customFormat="1" ht="12.75">
      <c r="A172" s="156"/>
      <c r="B172" s="124" t="s">
        <v>212</v>
      </c>
      <c r="C172" s="133">
        <v>0</v>
      </c>
      <c r="D172" s="133">
        <v>0</v>
      </c>
      <c r="E172" s="133">
        <v>0</v>
      </c>
      <c r="F172" s="133">
        <v>0</v>
      </c>
      <c r="G172" s="133">
        <v>0</v>
      </c>
      <c r="H172" s="133">
        <v>0</v>
      </c>
      <c r="I172" s="133">
        <v>0</v>
      </c>
      <c r="J172" s="133">
        <v>0</v>
      </c>
      <c r="K172" s="133">
        <v>0</v>
      </c>
      <c r="L172" s="133">
        <v>0</v>
      </c>
      <c r="M172" s="133">
        <v>0</v>
      </c>
      <c r="N172" s="133">
        <v>0</v>
      </c>
      <c r="O172" s="133">
        <v>0</v>
      </c>
      <c r="P172" s="122">
        <f>SUM(C172:O172)</f>
        <v>0</v>
      </c>
      <c r="R172" s="20"/>
      <c r="T172" s="20"/>
    </row>
    <row r="173" spans="1:20" s="103" customFormat="1" ht="12.75">
      <c r="A173" s="156"/>
      <c r="B173" s="124" t="s">
        <v>213</v>
      </c>
      <c r="C173" s="133">
        <v>0</v>
      </c>
      <c r="D173" s="133">
        <v>0</v>
      </c>
      <c r="E173" s="133">
        <v>0</v>
      </c>
      <c r="F173" s="133">
        <v>0</v>
      </c>
      <c r="G173" s="133">
        <v>0</v>
      </c>
      <c r="H173" s="133">
        <v>0</v>
      </c>
      <c r="I173" s="133">
        <v>0</v>
      </c>
      <c r="J173" s="133">
        <v>0</v>
      </c>
      <c r="K173" s="133">
        <v>0</v>
      </c>
      <c r="L173" s="133">
        <v>0</v>
      </c>
      <c r="M173" s="133">
        <v>0</v>
      </c>
      <c r="N173" s="133">
        <v>0</v>
      </c>
      <c r="O173" s="133">
        <v>0</v>
      </c>
      <c r="P173" s="122">
        <f>SUM(C173:O173)</f>
        <v>0</v>
      </c>
      <c r="R173" s="20"/>
      <c r="T173" s="20"/>
    </row>
    <row r="174" spans="1:20" s="103" customFormat="1" ht="12.75">
      <c r="A174" s="156"/>
      <c r="B174" s="124" t="s">
        <v>214</v>
      </c>
      <c r="C174" s="133">
        <v>0</v>
      </c>
      <c r="D174" s="133">
        <v>0</v>
      </c>
      <c r="E174" s="133">
        <v>0</v>
      </c>
      <c r="F174" s="133">
        <v>0</v>
      </c>
      <c r="G174" s="133">
        <v>0</v>
      </c>
      <c r="H174" s="133">
        <v>0</v>
      </c>
      <c r="I174" s="133">
        <v>0</v>
      </c>
      <c r="J174" s="133">
        <v>0</v>
      </c>
      <c r="K174" s="133">
        <v>0</v>
      </c>
      <c r="L174" s="133">
        <v>0</v>
      </c>
      <c r="M174" s="133">
        <v>0</v>
      </c>
      <c r="N174" s="133">
        <v>0</v>
      </c>
      <c r="O174" s="133">
        <v>0</v>
      </c>
      <c r="P174" s="122">
        <f>SUM(C174:O174)</f>
        <v>0</v>
      </c>
      <c r="R174" s="20"/>
      <c r="T174" s="20"/>
    </row>
    <row r="175" spans="1:20" ht="12.75">
      <c r="A175" s="123"/>
      <c r="B175" s="119" t="s">
        <v>215</v>
      </c>
      <c r="C175" s="120">
        <v>0</v>
      </c>
      <c r="D175" s="120">
        <v>0</v>
      </c>
      <c r="E175" s="120">
        <v>0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  <c r="P175" s="122">
        <f>SUM(C175:O175)</f>
        <v>0</v>
      </c>
      <c r="T175" s="130"/>
    </row>
    <row r="176" spans="1:20" ht="12.75">
      <c r="A176" s="123"/>
      <c r="B176" s="116" t="s">
        <v>216</v>
      </c>
      <c r="C176" s="117">
        <f aca="true" t="shared" si="60" ref="C176:P176">SUM(C177)</f>
        <v>0</v>
      </c>
      <c r="D176" s="117">
        <f t="shared" si="60"/>
        <v>0</v>
      </c>
      <c r="E176" s="117">
        <f t="shared" si="60"/>
        <v>0</v>
      </c>
      <c r="F176" s="117">
        <f t="shared" si="60"/>
        <v>707630.89</v>
      </c>
      <c r="G176" s="117">
        <f t="shared" si="60"/>
        <v>0</v>
      </c>
      <c r="H176" s="117">
        <f t="shared" si="60"/>
        <v>0</v>
      </c>
      <c r="I176" s="117">
        <f t="shared" si="60"/>
        <v>64300</v>
      </c>
      <c r="J176" s="117">
        <f t="shared" si="60"/>
        <v>-771930.89</v>
      </c>
      <c r="K176" s="117">
        <f t="shared" si="60"/>
        <v>0</v>
      </c>
      <c r="L176" s="117">
        <f t="shared" si="60"/>
        <v>0</v>
      </c>
      <c r="M176" s="117">
        <f t="shared" si="60"/>
        <v>0</v>
      </c>
      <c r="N176" s="117">
        <f t="shared" si="60"/>
        <v>0</v>
      </c>
      <c r="O176" s="117">
        <f t="shared" si="60"/>
        <v>0</v>
      </c>
      <c r="P176" s="117">
        <f t="shared" si="60"/>
        <v>0</v>
      </c>
      <c r="T176" s="130"/>
    </row>
    <row r="177" spans="1:20" ht="12.75">
      <c r="A177" s="123"/>
      <c r="B177" s="119" t="s">
        <v>217</v>
      </c>
      <c r="C177" s="120">
        <v>0</v>
      </c>
      <c r="D177" s="120">
        <v>0</v>
      </c>
      <c r="E177" s="120">
        <v>0</v>
      </c>
      <c r="F177" s="120">
        <v>707630.89</v>
      </c>
      <c r="G177" s="120">
        <v>0</v>
      </c>
      <c r="H177" s="120">
        <v>0</v>
      </c>
      <c r="I177" s="120">
        <v>64300</v>
      </c>
      <c r="J177" s="120">
        <v>-771930.89</v>
      </c>
      <c r="K177" s="120">
        <v>0</v>
      </c>
      <c r="L177" s="120">
        <v>0</v>
      </c>
      <c r="M177" s="120">
        <v>0</v>
      </c>
      <c r="N177" s="120">
        <v>0</v>
      </c>
      <c r="O177" s="120"/>
      <c r="P177" s="122">
        <f>SUM(C177:O177)</f>
        <v>0</v>
      </c>
      <c r="T177" s="130"/>
    </row>
    <row r="178" spans="1:20" ht="13.5" thickBot="1">
      <c r="A178" s="148"/>
      <c r="B178" s="116" t="s">
        <v>218</v>
      </c>
      <c r="C178" s="117">
        <f>C159+C161+C176+C155+C170</f>
        <v>40829.14</v>
      </c>
      <c r="D178" s="117">
        <f>D159+D161+D176+D155+D170</f>
        <v>86708.64000000001</v>
      </c>
      <c r="E178" s="117">
        <f>E159+E161+E176+E155+E170</f>
        <v>193715.46000000002</v>
      </c>
      <c r="F178" s="117">
        <f>F159+F161+F176+F155+F170+F157</f>
        <v>920111.49</v>
      </c>
      <c r="G178" s="117">
        <f aca="true" t="shared" si="61" ref="G178:P178">G159+G161+G176+G155+G170+G157</f>
        <v>357580.25</v>
      </c>
      <c r="H178" s="117">
        <f t="shared" si="61"/>
        <v>111915.78</v>
      </c>
      <c r="I178" s="117">
        <f t="shared" si="61"/>
        <v>299965.78</v>
      </c>
      <c r="J178" s="117">
        <f t="shared" si="61"/>
        <v>-517033.58</v>
      </c>
      <c r="K178" s="117">
        <f t="shared" si="61"/>
        <v>301076.91</v>
      </c>
      <c r="L178" s="117">
        <f t="shared" si="61"/>
        <v>626244.48</v>
      </c>
      <c r="M178" s="117">
        <f t="shared" si="61"/>
        <v>94894.34</v>
      </c>
      <c r="N178" s="117">
        <f t="shared" si="61"/>
        <v>354348.79</v>
      </c>
      <c r="O178" s="117">
        <f t="shared" si="61"/>
        <v>956927.54</v>
      </c>
      <c r="P178" s="117">
        <f t="shared" si="61"/>
        <v>3827285.0199999996</v>
      </c>
      <c r="T178" s="130"/>
    </row>
    <row r="179" spans="1:20" ht="13.5" thickBot="1">
      <c r="A179" s="111"/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40"/>
      <c r="T179" s="130"/>
    </row>
    <row r="180" spans="1:20" ht="12.75">
      <c r="A180" s="157"/>
      <c r="B180" s="116" t="s">
        <v>219</v>
      </c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22"/>
      <c r="T180" s="130"/>
    </row>
    <row r="181" spans="1:20" s="125" customFormat="1" ht="12.75">
      <c r="A181" s="115"/>
      <c r="B181" s="116" t="s">
        <v>220</v>
      </c>
      <c r="C181" s="117">
        <f aca="true" t="shared" si="62" ref="C181:P181">SUM(C182)</f>
        <v>0</v>
      </c>
      <c r="D181" s="117">
        <f t="shared" si="62"/>
        <v>21.4</v>
      </c>
      <c r="E181" s="117">
        <f t="shared" si="62"/>
        <v>11</v>
      </c>
      <c r="F181" s="117">
        <f t="shared" si="62"/>
        <v>884</v>
      </c>
      <c r="G181" s="117">
        <f t="shared" si="62"/>
        <v>1577.81</v>
      </c>
      <c r="H181" s="117">
        <f t="shared" si="62"/>
        <v>13435.67</v>
      </c>
      <c r="I181" s="117">
        <f t="shared" si="62"/>
        <v>2960.2</v>
      </c>
      <c r="J181" s="117">
        <f t="shared" si="62"/>
        <v>832.09</v>
      </c>
      <c r="K181" s="117">
        <f t="shared" si="62"/>
        <v>723.75</v>
      </c>
      <c r="L181" s="117">
        <f t="shared" si="62"/>
        <v>467.45</v>
      </c>
      <c r="M181" s="117">
        <f t="shared" si="62"/>
        <v>443.95</v>
      </c>
      <c r="N181" s="117">
        <f t="shared" si="62"/>
        <v>4048.59</v>
      </c>
      <c r="O181" s="117">
        <f t="shared" si="62"/>
        <v>21581.54</v>
      </c>
      <c r="P181" s="117">
        <f t="shared" si="62"/>
        <v>46987.450000000004</v>
      </c>
      <c r="R181" s="152"/>
      <c r="T181" s="152"/>
    </row>
    <row r="182" spans="1:20" ht="12.75">
      <c r="A182" s="118"/>
      <c r="B182" s="119" t="s">
        <v>221</v>
      </c>
      <c r="C182" s="120">
        <v>0</v>
      </c>
      <c r="D182" s="120">
        <v>21.4</v>
      </c>
      <c r="E182" s="120">
        <v>11</v>
      </c>
      <c r="F182" s="120">
        <v>884</v>
      </c>
      <c r="G182" s="120">
        <v>1577.81</v>
      </c>
      <c r="H182" s="120">
        <v>13435.67</v>
      </c>
      <c r="I182" s="120">
        <v>2960.2</v>
      </c>
      <c r="J182" s="120">
        <v>832.09</v>
      </c>
      <c r="K182" s="120">
        <v>723.75</v>
      </c>
      <c r="L182" s="120">
        <v>467.45</v>
      </c>
      <c r="M182" s="120">
        <v>443.95</v>
      </c>
      <c r="N182" s="158">
        <f>25630.13-O182</f>
        <v>4048.59</v>
      </c>
      <c r="O182" s="159">
        <v>21581.54</v>
      </c>
      <c r="P182" s="122">
        <f>SUM(C182:O182)</f>
        <v>46987.450000000004</v>
      </c>
      <c r="T182" s="130"/>
    </row>
    <row r="183" spans="1:20" ht="12.75">
      <c r="A183" s="118"/>
      <c r="B183" s="116" t="s">
        <v>201</v>
      </c>
      <c r="C183" s="117">
        <f aca="true" t="shared" si="63" ref="C183:P183">SUM(C184:C184)</f>
        <v>278193.02</v>
      </c>
      <c r="D183" s="117">
        <f t="shared" si="63"/>
        <v>337982.59</v>
      </c>
      <c r="E183" s="117">
        <f t="shared" si="63"/>
        <v>17298.07</v>
      </c>
      <c r="F183" s="117">
        <f t="shared" si="63"/>
        <v>355280.66</v>
      </c>
      <c r="G183" s="117">
        <f t="shared" si="63"/>
        <v>362227.98</v>
      </c>
      <c r="H183" s="117">
        <f t="shared" si="63"/>
        <v>475665.62</v>
      </c>
      <c r="I183" s="117">
        <f t="shared" si="63"/>
        <v>770285.88</v>
      </c>
      <c r="J183" s="117">
        <f t="shared" si="63"/>
        <v>0</v>
      </c>
      <c r="K183" s="117">
        <f t="shared" si="63"/>
        <v>385142.68</v>
      </c>
      <c r="L183" s="117">
        <f t="shared" si="63"/>
        <v>771873.41</v>
      </c>
      <c r="M183" s="117">
        <f t="shared" si="63"/>
        <v>0</v>
      </c>
      <c r="N183" s="117">
        <f t="shared" si="63"/>
        <v>768257.77</v>
      </c>
      <c r="O183" s="117">
        <f t="shared" si="63"/>
        <v>99439.6</v>
      </c>
      <c r="P183" s="117">
        <f t="shared" si="63"/>
        <v>4621647.279999999</v>
      </c>
      <c r="T183" s="130"/>
    </row>
    <row r="184" spans="1:20" ht="12.75">
      <c r="A184" s="118"/>
      <c r="B184" s="119" t="s">
        <v>222</v>
      </c>
      <c r="C184" s="120">
        <v>278193.02</v>
      </c>
      <c r="D184" s="120">
        <v>337982.59</v>
      </c>
      <c r="E184" s="120">
        <v>17298.07</v>
      </c>
      <c r="F184" s="120">
        <v>355280.66</v>
      </c>
      <c r="G184" s="120">
        <v>362227.98</v>
      </c>
      <c r="H184" s="120">
        <v>475665.62</v>
      </c>
      <c r="I184" s="120">
        <v>770285.88</v>
      </c>
      <c r="J184" s="120">
        <v>0</v>
      </c>
      <c r="K184" s="120">
        <v>385142.68</v>
      </c>
      <c r="L184" s="120">
        <v>771873.41</v>
      </c>
      <c r="M184" s="120">
        <v>0</v>
      </c>
      <c r="N184" s="120">
        <f>867697.37-O184</f>
        <v>768257.77</v>
      </c>
      <c r="O184" s="120">
        <f>439.6+99000</f>
        <v>99439.6</v>
      </c>
      <c r="P184" s="122">
        <f>SUM(C184:O184)</f>
        <v>4621647.279999999</v>
      </c>
      <c r="T184" s="130"/>
    </row>
    <row r="185" spans="1:20" ht="12.75">
      <c r="A185" s="123" t="s">
        <v>17</v>
      </c>
      <c r="B185" s="116" t="s">
        <v>171</v>
      </c>
      <c r="C185" s="117">
        <f>SUM(C186)</f>
        <v>0</v>
      </c>
      <c r="D185" s="117">
        <f aca="true" t="shared" si="64" ref="D185:P185">SUM(D186)</f>
        <v>2627.86</v>
      </c>
      <c r="E185" s="117">
        <f t="shared" si="64"/>
        <v>4544.75</v>
      </c>
      <c r="F185" s="117">
        <f t="shared" si="64"/>
        <v>5307.76</v>
      </c>
      <c r="G185" s="117">
        <f t="shared" si="64"/>
        <v>5713.12</v>
      </c>
      <c r="H185" s="117">
        <f t="shared" si="64"/>
        <v>0</v>
      </c>
      <c r="I185" s="117">
        <f t="shared" si="64"/>
        <v>4484.75</v>
      </c>
      <c r="J185" s="117">
        <f t="shared" si="64"/>
        <v>7826.4</v>
      </c>
      <c r="K185" s="117">
        <f t="shared" si="64"/>
        <v>1970.07</v>
      </c>
      <c r="L185" s="117">
        <f t="shared" si="64"/>
        <v>4760.05</v>
      </c>
      <c r="M185" s="117">
        <f t="shared" si="64"/>
        <v>2665</v>
      </c>
      <c r="N185" s="117">
        <f t="shared" si="64"/>
        <v>5654.75</v>
      </c>
      <c r="O185" s="117">
        <f t="shared" si="64"/>
        <v>36022.51</v>
      </c>
      <c r="P185" s="117">
        <f t="shared" si="64"/>
        <v>81577.02</v>
      </c>
      <c r="T185" s="130"/>
    </row>
    <row r="186" spans="1:20" ht="13.5" customHeight="1">
      <c r="A186" s="123"/>
      <c r="B186" s="119" t="s">
        <v>223</v>
      </c>
      <c r="C186" s="120">
        <v>0</v>
      </c>
      <c r="D186" s="120">
        <v>2627.86</v>
      </c>
      <c r="E186" s="120">
        <v>4544.75</v>
      </c>
      <c r="F186" s="120">
        <v>5307.76</v>
      </c>
      <c r="G186" s="120">
        <v>5713.12</v>
      </c>
      <c r="H186" s="120">
        <v>0</v>
      </c>
      <c r="I186" s="120">
        <v>4484.75</v>
      </c>
      <c r="J186" s="120">
        <v>7826.4</v>
      </c>
      <c r="K186" s="120">
        <v>1970.07</v>
      </c>
      <c r="L186" s="120">
        <v>4760.05</v>
      </c>
      <c r="M186" s="120">
        <v>2665</v>
      </c>
      <c r="N186" s="120">
        <f>41677.26-O186</f>
        <v>5654.75</v>
      </c>
      <c r="O186" s="120">
        <f>3920.22+32102.29</f>
        <v>36022.51</v>
      </c>
      <c r="P186" s="122">
        <f>SUM(C186:O186)</f>
        <v>81577.02</v>
      </c>
      <c r="T186" s="130"/>
    </row>
    <row r="187" spans="1:20" ht="12.75">
      <c r="A187" s="123"/>
      <c r="B187" s="116" t="s">
        <v>141</v>
      </c>
      <c r="C187" s="117">
        <f>SUM(C188:C189)</f>
        <v>0</v>
      </c>
      <c r="D187" s="117">
        <f aca="true" t="shared" si="65" ref="D187:P187">SUM(D188:D189)</f>
        <v>885.5</v>
      </c>
      <c r="E187" s="117">
        <f t="shared" si="65"/>
        <v>0</v>
      </c>
      <c r="F187" s="117">
        <f t="shared" si="65"/>
        <v>0</v>
      </c>
      <c r="G187" s="117">
        <f t="shared" si="65"/>
        <v>0</v>
      </c>
      <c r="H187" s="117">
        <f t="shared" si="65"/>
        <v>0</v>
      </c>
      <c r="I187" s="117">
        <f t="shared" si="65"/>
        <v>0</v>
      </c>
      <c r="J187" s="117">
        <f t="shared" si="65"/>
        <v>0</v>
      </c>
      <c r="K187" s="117">
        <f t="shared" si="65"/>
        <v>0</v>
      </c>
      <c r="L187" s="117">
        <f t="shared" si="65"/>
        <v>0</v>
      </c>
      <c r="M187" s="117">
        <f t="shared" si="65"/>
        <v>0</v>
      </c>
      <c r="N187" s="117">
        <f t="shared" si="65"/>
        <v>0</v>
      </c>
      <c r="O187" s="117">
        <f t="shared" si="65"/>
        <v>0</v>
      </c>
      <c r="P187" s="117">
        <f t="shared" si="65"/>
        <v>885.5</v>
      </c>
      <c r="T187" s="130"/>
    </row>
    <row r="188" spans="1:20" ht="12.75">
      <c r="A188" s="123"/>
      <c r="B188" s="119" t="s">
        <v>523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  <c r="M188" s="133">
        <v>0</v>
      </c>
      <c r="N188" s="133">
        <v>0</v>
      </c>
      <c r="O188" s="133"/>
      <c r="P188" s="122">
        <f>SUM(C188:O188)</f>
        <v>0</v>
      </c>
      <c r="T188" s="130"/>
    </row>
    <row r="189" spans="1:20" ht="12.75">
      <c r="A189" s="118"/>
      <c r="B189" s="119" t="s">
        <v>562</v>
      </c>
      <c r="C189" s="120">
        <v>0</v>
      </c>
      <c r="D189" s="120">
        <v>885.5</v>
      </c>
      <c r="E189" s="120">
        <v>0</v>
      </c>
      <c r="F189" s="120">
        <v>0</v>
      </c>
      <c r="G189" s="120">
        <v>0</v>
      </c>
      <c r="H189" s="120">
        <v>0</v>
      </c>
      <c r="I189" s="120">
        <v>0</v>
      </c>
      <c r="J189" s="120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2">
        <f>SUM(C189:O189)</f>
        <v>885.5</v>
      </c>
      <c r="T189" s="130"/>
    </row>
    <row r="190" spans="1:20" ht="13.5" thickBot="1">
      <c r="A190" s="154"/>
      <c r="B190" s="116" t="s">
        <v>224</v>
      </c>
      <c r="C190" s="117">
        <f>C183+C185+C181+C187</f>
        <v>278193.02</v>
      </c>
      <c r="D190" s="117">
        <f aca="true" t="shared" si="66" ref="D190:P190">D183+D185+D181+D187</f>
        <v>341517.35000000003</v>
      </c>
      <c r="E190" s="117">
        <f t="shared" si="66"/>
        <v>21853.82</v>
      </c>
      <c r="F190" s="117">
        <f t="shared" si="66"/>
        <v>361472.42</v>
      </c>
      <c r="G190" s="117">
        <f t="shared" si="66"/>
        <v>369518.91</v>
      </c>
      <c r="H190" s="117">
        <f t="shared" si="66"/>
        <v>489101.29</v>
      </c>
      <c r="I190" s="117">
        <f t="shared" si="66"/>
        <v>777730.83</v>
      </c>
      <c r="J190" s="117">
        <f t="shared" si="66"/>
        <v>8658.49</v>
      </c>
      <c r="K190" s="117">
        <f t="shared" si="66"/>
        <v>387836.5</v>
      </c>
      <c r="L190" s="117">
        <f t="shared" si="66"/>
        <v>777100.91</v>
      </c>
      <c r="M190" s="117">
        <f t="shared" si="66"/>
        <v>3108.95</v>
      </c>
      <c r="N190" s="117">
        <f t="shared" si="66"/>
        <v>777961.11</v>
      </c>
      <c r="O190" s="117">
        <f t="shared" si="66"/>
        <v>157043.65000000002</v>
      </c>
      <c r="P190" s="117">
        <f t="shared" si="66"/>
        <v>4751097.249999999</v>
      </c>
      <c r="T190" s="130"/>
    </row>
    <row r="191" spans="1:20" ht="13.5" thickBot="1">
      <c r="A191" s="111"/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40"/>
      <c r="T191" s="130"/>
    </row>
    <row r="192" spans="1:20" ht="12.75">
      <c r="A192" s="157"/>
      <c r="B192" s="116" t="s">
        <v>225</v>
      </c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22"/>
      <c r="T192" s="130"/>
    </row>
    <row r="193" spans="1:20" ht="12.75">
      <c r="A193" s="123"/>
      <c r="B193" s="116" t="s">
        <v>171</v>
      </c>
      <c r="C193" s="117">
        <f aca="true" t="shared" si="67" ref="C193:P193">SUM(C194:C194)</f>
        <v>313.81</v>
      </c>
      <c r="D193" s="117">
        <f t="shared" si="67"/>
        <v>512</v>
      </c>
      <c r="E193" s="117">
        <f t="shared" si="67"/>
        <v>225</v>
      </c>
      <c r="F193" s="117">
        <f t="shared" si="67"/>
        <v>1024</v>
      </c>
      <c r="G193" s="117">
        <f t="shared" si="67"/>
        <v>1187</v>
      </c>
      <c r="H193" s="117">
        <f t="shared" si="67"/>
        <v>512</v>
      </c>
      <c r="I193" s="117">
        <f t="shared" si="67"/>
        <v>962</v>
      </c>
      <c r="J193" s="117">
        <f t="shared" si="67"/>
        <v>225</v>
      </c>
      <c r="K193" s="117">
        <f t="shared" si="67"/>
        <v>1946.87</v>
      </c>
      <c r="L193" s="117">
        <f t="shared" si="67"/>
        <v>525</v>
      </c>
      <c r="M193" s="117">
        <f t="shared" si="67"/>
        <v>0</v>
      </c>
      <c r="N193" s="117">
        <f t="shared" si="67"/>
        <v>750</v>
      </c>
      <c r="O193" s="117">
        <f t="shared" si="67"/>
        <v>1125</v>
      </c>
      <c r="P193" s="117">
        <f t="shared" si="67"/>
        <v>9307.68</v>
      </c>
      <c r="T193" s="130"/>
    </row>
    <row r="194" spans="1:20" ht="12.75">
      <c r="A194" s="118"/>
      <c r="B194" s="119" t="s">
        <v>226</v>
      </c>
      <c r="C194" s="120">
        <v>313.81</v>
      </c>
      <c r="D194" s="120">
        <v>512</v>
      </c>
      <c r="E194" s="120">
        <v>225</v>
      </c>
      <c r="F194" s="120">
        <v>1024</v>
      </c>
      <c r="G194" s="120">
        <v>1187</v>
      </c>
      <c r="H194" s="120">
        <v>512</v>
      </c>
      <c r="I194" s="120">
        <v>962</v>
      </c>
      <c r="J194" s="120">
        <v>225</v>
      </c>
      <c r="K194" s="120">
        <v>1946.87</v>
      </c>
      <c r="L194" s="120">
        <v>525</v>
      </c>
      <c r="M194" s="120">
        <v>0</v>
      </c>
      <c r="N194" s="120">
        <f>1875-O194</f>
        <v>750</v>
      </c>
      <c r="O194" s="120">
        <f>225+900</f>
        <v>1125</v>
      </c>
      <c r="P194" s="122">
        <f>SUM(C194:O194)</f>
        <v>9307.68</v>
      </c>
      <c r="T194" s="130"/>
    </row>
    <row r="195" spans="1:20" ht="12.75">
      <c r="A195" s="118"/>
      <c r="B195" s="116" t="s">
        <v>171</v>
      </c>
      <c r="C195" s="117">
        <f>SUM(C196)</f>
        <v>198.19</v>
      </c>
      <c r="D195" s="117">
        <f aca="true" t="shared" si="68" ref="D195:P195">SUM(D196)</f>
        <v>0</v>
      </c>
      <c r="E195" s="117">
        <f t="shared" si="68"/>
        <v>0</v>
      </c>
      <c r="F195" s="117">
        <f t="shared" si="68"/>
        <v>0</v>
      </c>
      <c r="G195" s="117">
        <f t="shared" si="68"/>
        <v>0</v>
      </c>
      <c r="H195" s="117">
        <f t="shared" si="68"/>
        <v>0</v>
      </c>
      <c r="I195" s="117">
        <f t="shared" si="68"/>
        <v>0</v>
      </c>
      <c r="J195" s="117">
        <f t="shared" si="68"/>
        <v>0</v>
      </c>
      <c r="K195" s="117">
        <f t="shared" si="68"/>
        <v>0</v>
      </c>
      <c r="L195" s="117">
        <f t="shared" si="68"/>
        <v>0</v>
      </c>
      <c r="M195" s="117">
        <f t="shared" si="68"/>
        <v>0</v>
      </c>
      <c r="N195" s="117">
        <f t="shared" si="68"/>
        <v>0</v>
      </c>
      <c r="O195" s="117">
        <f t="shared" si="68"/>
        <v>0</v>
      </c>
      <c r="P195" s="117">
        <f t="shared" si="68"/>
        <v>198.19</v>
      </c>
      <c r="T195" s="130"/>
    </row>
    <row r="196" spans="1:20" ht="12.75">
      <c r="A196" s="118"/>
      <c r="B196" s="119" t="s">
        <v>560</v>
      </c>
      <c r="C196" s="120">
        <v>198.19</v>
      </c>
      <c r="D196" s="120">
        <v>0</v>
      </c>
      <c r="E196" s="120">
        <v>0</v>
      </c>
      <c r="F196" s="120">
        <v>0</v>
      </c>
      <c r="G196" s="120">
        <v>0</v>
      </c>
      <c r="H196" s="120">
        <v>0</v>
      </c>
      <c r="I196" s="120"/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/>
      <c r="P196" s="122">
        <f>SUM(C196:O196)</f>
        <v>198.19</v>
      </c>
      <c r="T196" s="130"/>
    </row>
    <row r="197" spans="1:20" ht="12.75">
      <c r="A197" s="118"/>
      <c r="B197" s="116" t="s">
        <v>201</v>
      </c>
      <c r="C197" s="117">
        <f aca="true" t="shared" si="69" ref="C197:P197">SUM(C198:C198)</f>
        <v>0</v>
      </c>
      <c r="D197" s="117">
        <f t="shared" si="69"/>
        <v>417833.6</v>
      </c>
      <c r="E197" s="117">
        <f t="shared" si="69"/>
        <v>417833.6</v>
      </c>
      <c r="F197" s="117">
        <f t="shared" si="69"/>
        <v>417833.6</v>
      </c>
      <c r="G197" s="117">
        <f t="shared" si="69"/>
        <v>434186.3</v>
      </c>
      <c r="H197" s="117">
        <f t="shared" si="69"/>
        <v>153080.7</v>
      </c>
      <c r="I197" s="117">
        <f t="shared" si="69"/>
        <v>-149748.03</v>
      </c>
      <c r="J197" s="117">
        <f t="shared" si="69"/>
        <v>1514820.2</v>
      </c>
      <c r="K197" s="117">
        <f t="shared" si="69"/>
        <v>645158.51</v>
      </c>
      <c r="L197" s="117">
        <f t="shared" si="69"/>
        <v>1015494.04</v>
      </c>
      <c r="M197" s="117">
        <f t="shared" si="69"/>
        <v>521437.44</v>
      </c>
      <c r="N197" s="117">
        <f t="shared" si="69"/>
        <v>558824.1599999999</v>
      </c>
      <c r="O197" s="117">
        <f t="shared" si="69"/>
        <v>522050.80000000005</v>
      </c>
      <c r="P197" s="117">
        <f t="shared" si="69"/>
        <v>6468804.92</v>
      </c>
      <c r="T197" s="130"/>
    </row>
    <row r="198" spans="1:20" ht="12.75">
      <c r="A198" s="118"/>
      <c r="B198" s="119" t="s">
        <v>227</v>
      </c>
      <c r="C198" s="120">
        <v>0</v>
      </c>
      <c r="D198" s="120">
        <v>417833.6</v>
      </c>
      <c r="E198" s="120">
        <v>417833.6</v>
      </c>
      <c r="F198" s="120">
        <v>417833.6</v>
      </c>
      <c r="G198" s="120">
        <v>434186.3</v>
      </c>
      <c r="H198" s="120">
        <v>153080.7</v>
      </c>
      <c r="I198" s="120">
        <v>-149748.03</v>
      </c>
      <c r="J198" s="120">
        <v>1514820.2</v>
      </c>
      <c r="K198" s="120">
        <v>645158.51</v>
      </c>
      <c r="L198" s="120">
        <v>1015494.04</v>
      </c>
      <c r="M198" s="120">
        <v>521437.44</v>
      </c>
      <c r="N198" s="120">
        <f>1080874.96-O198</f>
        <v>558824.1599999999</v>
      </c>
      <c r="O198" s="120">
        <f>454452.83+67597.97</f>
        <v>522050.80000000005</v>
      </c>
      <c r="P198" s="122">
        <f>SUM(C198:O198)</f>
        <v>6468804.92</v>
      </c>
      <c r="T198" s="130"/>
    </row>
    <row r="199" spans="1:20" ht="12.75">
      <c r="A199" s="123" t="s">
        <v>18</v>
      </c>
      <c r="B199" s="116" t="s">
        <v>228</v>
      </c>
      <c r="C199" s="117">
        <f aca="true" t="shared" si="70" ref="C199:P199">SUM(C200:C200)</f>
        <v>0</v>
      </c>
      <c r="D199" s="117">
        <f t="shared" si="70"/>
        <v>0</v>
      </c>
      <c r="E199" s="117">
        <f t="shared" si="70"/>
        <v>0</v>
      </c>
      <c r="F199" s="117">
        <f t="shared" si="70"/>
        <v>0</v>
      </c>
      <c r="G199" s="117">
        <f t="shared" si="70"/>
        <v>0</v>
      </c>
      <c r="H199" s="117">
        <f t="shared" si="70"/>
        <v>0</v>
      </c>
      <c r="I199" s="117">
        <f t="shared" si="70"/>
        <v>0</v>
      </c>
      <c r="J199" s="117">
        <f t="shared" si="70"/>
        <v>0</v>
      </c>
      <c r="K199" s="117">
        <f t="shared" si="70"/>
        <v>0</v>
      </c>
      <c r="L199" s="117">
        <f t="shared" si="70"/>
        <v>0</v>
      </c>
      <c r="M199" s="117">
        <f t="shared" si="70"/>
        <v>0</v>
      </c>
      <c r="N199" s="117">
        <f t="shared" si="70"/>
        <v>0</v>
      </c>
      <c r="O199" s="117">
        <f t="shared" si="70"/>
        <v>0</v>
      </c>
      <c r="P199" s="117">
        <f t="shared" si="70"/>
        <v>0</v>
      </c>
      <c r="T199" s="130"/>
    </row>
    <row r="200" spans="1:20" ht="12.75">
      <c r="A200" s="118"/>
      <c r="B200" s="119" t="s">
        <v>229</v>
      </c>
      <c r="C200" s="120">
        <v>0</v>
      </c>
      <c r="D200" s="120">
        <v>0</v>
      </c>
      <c r="E200" s="120">
        <v>0</v>
      </c>
      <c r="F200" s="120">
        <v>0</v>
      </c>
      <c r="G200" s="120">
        <v>0</v>
      </c>
      <c r="H200" s="120">
        <v>0</v>
      </c>
      <c r="I200" s="120">
        <v>0</v>
      </c>
      <c r="J200" s="120">
        <v>0</v>
      </c>
      <c r="K200" s="120">
        <v>0</v>
      </c>
      <c r="L200" s="120">
        <v>0</v>
      </c>
      <c r="M200" s="120">
        <v>0</v>
      </c>
      <c r="N200" s="120">
        <v>0</v>
      </c>
      <c r="O200" s="120">
        <v>0</v>
      </c>
      <c r="P200" s="122">
        <f>SUM(C200:O200)</f>
        <v>0</v>
      </c>
      <c r="T200" s="130"/>
    </row>
    <row r="201" spans="1:20" ht="13.5" thickBot="1">
      <c r="A201" s="154"/>
      <c r="B201" s="116" t="s">
        <v>230</v>
      </c>
      <c r="C201" s="117">
        <f>C193+C197+C199+C195</f>
        <v>512</v>
      </c>
      <c r="D201" s="117">
        <f aca="true" t="shared" si="71" ref="D201:P201">D193+D197+D199+D195</f>
        <v>418345.6</v>
      </c>
      <c r="E201" s="117">
        <f t="shared" si="71"/>
        <v>418058.6</v>
      </c>
      <c r="F201" s="117">
        <f t="shared" si="71"/>
        <v>418857.6</v>
      </c>
      <c r="G201" s="117">
        <f t="shared" si="71"/>
        <v>435373.3</v>
      </c>
      <c r="H201" s="117">
        <f t="shared" si="71"/>
        <v>153592.7</v>
      </c>
      <c r="I201" s="117">
        <f t="shared" si="71"/>
        <v>-148786.03</v>
      </c>
      <c r="J201" s="117">
        <f t="shared" si="71"/>
        <v>1515045.2</v>
      </c>
      <c r="K201" s="117">
        <f t="shared" si="71"/>
        <v>647105.38</v>
      </c>
      <c r="L201" s="117">
        <f t="shared" si="71"/>
        <v>1016019.04</v>
      </c>
      <c r="M201" s="117">
        <f t="shared" si="71"/>
        <v>521437.44</v>
      </c>
      <c r="N201" s="117">
        <f t="shared" si="71"/>
        <v>559574.1599999999</v>
      </c>
      <c r="O201" s="117">
        <f t="shared" si="71"/>
        <v>523175.80000000005</v>
      </c>
      <c r="P201" s="117">
        <f t="shared" si="71"/>
        <v>6478310.79</v>
      </c>
      <c r="T201" s="130"/>
    </row>
    <row r="202" spans="1:20" ht="13.5" thickBot="1">
      <c r="A202" s="111"/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40"/>
      <c r="T202" s="130"/>
    </row>
    <row r="203" spans="1:20" ht="12.75">
      <c r="A203" s="157"/>
      <c r="B203" s="116" t="s">
        <v>231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22"/>
      <c r="T203" s="130"/>
    </row>
    <row r="204" spans="1:20" ht="12.75">
      <c r="A204" s="123"/>
      <c r="B204" s="116" t="s">
        <v>171</v>
      </c>
      <c r="C204" s="117">
        <f>SUM(C205)</f>
        <v>0</v>
      </c>
      <c r="D204" s="117">
        <f>SUM(D205)</f>
        <v>5467.84</v>
      </c>
      <c r="E204" s="117">
        <f>SUM(E205)</f>
        <v>1952.8</v>
      </c>
      <c r="F204" s="117">
        <f>SUM(F205)</f>
        <v>2733.92</v>
      </c>
      <c r="G204" s="117">
        <f>SUM(G205)</f>
        <v>4296.16</v>
      </c>
      <c r="H204" s="117">
        <f>SUM(H205:H207)</f>
        <v>390.56</v>
      </c>
      <c r="I204" s="117">
        <f aca="true" t="shared" si="72" ref="I204:P204">SUM(I205:I207)</f>
        <v>3124.48</v>
      </c>
      <c r="J204" s="117">
        <f t="shared" si="72"/>
        <v>4405.76</v>
      </c>
      <c r="K204" s="117">
        <f t="shared" si="72"/>
        <v>8269.6</v>
      </c>
      <c r="L204" s="117">
        <f t="shared" si="72"/>
        <v>4132.8</v>
      </c>
      <c r="M204" s="117">
        <f t="shared" si="72"/>
        <v>4132.8</v>
      </c>
      <c r="N204" s="117">
        <f t="shared" si="72"/>
        <v>0</v>
      </c>
      <c r="O204" s="117">
        <f t="shared" si="72"/>
        <v>31835.36</v>
      </c>
      <c r="P204" s="117">
        <f t="shared" si="72"/>
        <v>70742.08000000002</v>
      </c>
      <c r="T204" s="130"/>
    </row>
    <row r="205" spans="1:20" ht="12.75">
      <c r="A205" s="123"/>
      <c r="B205" s="119" t="s">
        <v>232</v>
      </c>
      <c r="C205" s="120">
        <v>0</v>
      </c>
      <c r="D205" s="120">
        <v>5467.84</v>
      </c>
      <c r="E205" s="120">
        <v>1952.8</v>
      </c>
      <c r="F205" s="120">
        <v>2733.92</v>
      </c>
      <c r="G205" s="120">
        <v>4296.16</v>
      </c>
      <c r="H205" s="120">
        <v>390.56</v>
      </c>
      <c r="I205" s="120">
        <v>3124.48</v>
      </c>
      <c r="J205" s="120">
        <v>4405.76</v>
      </c>
      <c r="K205" s="120">
        <v>8269.6</v>
      </c>
      <c r="L205" s="120">
        <v>4132.8</v>
      </c>
      <c r="M205" s="120">
        <v>4132.8</v>
      </c>
      <c r="N205" s="120">
        <f>3955.36-O205</f>
        <v>0</v>
      </c>
      <c r="O205" s="120">
        <v>3955.36</v>
      </c>
      <c r="P205" s="122">
        <f>SUM(C205:O205)</f>
        <v>42862.08000000001</v>
      </c>
      <c r="T205" s="130"/>
    </row>
    <row r="206" spans="1:20" ht="12.75">
      <c r="A206" s="123"/>
      <c r="B206" s="119" t="s">
        <v>524</v>
      </c>
      <c r="C206" s="120">
        <v>0</v>
      </c>
      <c r="D206" s="120">
        <v>0</v>
      </c>
      <c r="E206" s="120">
        <v>0</v>
      </c>
      <c r="F206" s="120"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2">
        <f>SUM(C206:O206)</f>
        <v>0</v>
      </c>
      <c r="T206" s="130"/>
    </row>
    <row r="207" spans="1:20" ht="12.75">
      <c r="A207" s="123"/>
      <c r="B207" s="119" t="s">
        <v>525</v>
      </c>
      <c r="C207" s="120">
        <v>0</v>
      </c>
      <c r="D207" s="120">
        <v>0</v>
      </c>
      <c r="E207" s="120">
        <v>0</v>
      </c>
      <c r="F207" s="120"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f>27880-O207</f>
        <v>0</v>
      </c>
      <c r="O207" s="120">
        <f>4300+23580</f>
        <v>27880</v>
      </c>
      <c r="P207" s="122">
        <f>SUM(C207:O207)</f>
        <v>27880</v>
      </c>
      <c r="T207" s="130"/>
    </row>
    <row r="208" spans="1:20" ht="12.75">
      <c r="A208" s="123" t="s">
        <v>233</v>
      </c>
      <c r="B208" s="116" t="s">
        <v>179</v>
      </c>
      <c r="C208" s="117">
        <f aca="true" t="shared" si="73" ref="C208:P208">SUM(C209)</f>
        <v>390.56</v>
      </c>
      <c r="D208" s="117">
        <f t="shared" si="73"/>
        <v>0</v>
      </c>
      <c r="E208" s="117">
        <f t="shared" si="73"/>
        <v>0</v>
      </c>
      <c r="F208" s="117">
        <f t="shared" si="73"/>
        <v>0</v>
      </c>
      <c r="G208" s="117">
        <f t="shared" si="73"/>
        <v>0</v>
      </c>
      <c r="H208" s="117">
        <f t="shared" si="73"/>
        <v>0</v>
      </c>
      <c r="I208" s="117">
        <f t="shared" si="73"/>
        <v>0</v>
      </c>
      <c r="J208" s="117">
        <f t="shared" si="73"/>
        <v>0</v>
      </c>
      <c r="K208" s="117">
        <f t="shared" si="73"/>
        <v>0</v>
      </c>
      <c r="L208" s="117">
        <f t="shared" si="73"/>
        <v>0</v>
      </c>
      <c r="M208" s="117">
        <f t="shared" si="73"/>
        <v>0</v>
      </c>
      <c r="N208" s="117">
        <f t="shared" si="73"/>
        <v>0</v>
      </c>
      <c r="O208" s="117">
        <f t="shared" si="73"/>
        <v>0</v>
      </c>
      <c r="P208" s="117">
        <f t="shared" si="73"/>
        <v>390.56</v>
      </c>
      <c r="T208" s="130"/>
    </row>
    <row r="209" spans="1:20" ht="12.75">
      <c r="A209" s="123"/>
      <c r="B209" s="119" t="s">
        <v>234</v>
      </c>
      <c r="C209" s="120">
        <v>390.56</v>
      </c>
      <c r="D209" s="120">
        <v>0</v>
      </c>
      <c r="E209" s="120">
        <v>0</v>
      </c>
      <c r="F209" s="120">
        <v>0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2">
        <f>SUM(C209:O209)</f>
        <v>390.56</v>
      </c>
      <c r="T209" s="130"/>
    </row>
    <row r="210" spans="1:20" ht="12.75">
      <c r="A210" s="123"/>
      <c r="B210" s="116" t="s">
        <v>193</v>
      </c>
      <c r="C210" s="117">
        <f>SUM(C211)</f>
        <v>0</v>
      </c>
      <c r="D210" s="117">
        <f>SUM(D211)</f>
        <v>0</v>
      </c>
      <c r="E210" s="117">
        <f>SUM(E211)</f>
        <v>0</v>
      </c>
      <c r="F210" s="117">
        <f>SUM(F211)</f>
        <v>0</v>
      </c>
      <c r="G210" s="117">
        <f>SUM(G211)</f>
        <v>3067.37</v>
      </c>
      <c r="H210" s="117">
        <f>SUM(H211:H212)</f>
        <v>0</v>
      </c>
      <c r="I210" s="117">
        <f aca="true" t="shared" si="74" ref="I210:P210">SUM(I211:I212)</f>
        <v>3826.62</v>
      </c>
      <c r="J210" s="117">
        <f t="shared" si="74"/>
        <v>0</v>
      </c>
      <c r="K210" s="117">
        <f t="shared" si="74"/>
        <v>1275.54</v>
      </c>
      <c r="L210" s="117">
        <f t="shared" si="74"/>
        <v>2368.86</v>
      </c>
      <c r="M210" s="117">
        <f t="shared" si="74"/>
        <v>3735.51</v>
      </c>
      <c r="N210" s="117">
        <f t="shared" si="74"/>
        <v>2156.27</v>
      </c>
      <c r="O210" s="117">
        <f t="shared" si="74"/>
        <v>1000</v>
      </c>
      <c r="P210" s="117">
        <f t="shared" si="74"/>
        <v>17430.17</v>
      </c>
      <c r="T210" s="130"/>
    </row>
    <row r="211" spans="1:20" ht="12.75">
      <c r="A211" s="123"/>
      <c r="B211" s="119" t="s">
        <v>235</v>
      </c>
      <c r="C211" s="120">
        <v>0</v>
      </c>
      <c r="D211" s="120">
        <v>0</v>
      </c>
      <c r="E211" s="120">
        <v>0</v>
      </c>
      <c r="F211" s="120">
        <v>0</v>
      </c>
      <c r="G211" s="120">
        <v>3067.37</v>
      </c>
      <c r="H211" s="120">
        <v>0</v>
      </c>
      <c r="I211" s="120">
        <v>3826.62</v>
      </c>
      <c r="J211" s="120">
        <v>0</v>
      </c>
      <c r="K211" s="120">
        <v>1275.54</v>
      </c>
      <c r="L211" s="120">
        <v>2368.86</v>
      </c>
      <c r="M211" s="120">
        <v>3735.51</v>
      </c>
      <c r="N211" s="120">
        <f>3156.27-O211</f>
        <v>2156.27</v>
      </c>
      <c r="O211" s="120">
        <v>1000</v>
      </c>
      <c r="P211" s="122">
        <f>SUM(C211:O211)</f>
        <v>17430.17</v>
      </c>
      <c r="T211" s="130"/>
    </row>
    <row r="212" spans="1:20" ht="12.75">
      <c r="A212" s="123"/>
      <c r="B212" s="119" t="s">
        <v>526</v>
      </c>
      <c r="C212" s="120">
        <v>0</v>
      </c>
      <c r="D212" s="120"/>
      <c r="E212" s="120">
        <v>0</v>
      </c>
      <c r="F212" s="120"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2">
        <f>SUM(C212:O212)</f>
        <v>0</v>
      </c>
      <c r="T212" s="130"/>
    </row>
    <row r="213" spans="1:20" ht="12.75">
      <c r="A213" s="123"/>
      <c r="B213" s="116" t="s">
        <v>195</v>
      </c>
      <c r="C213" s="117">
        <f aca="true" t="shared" si="75" ref="C213:P213">SUM(C214)</f>
        <v>0</v>
      </c>
      <c r="D213" s="117">
        <f t="shared" si="75"/>
        <v>0</v>
      </c>
      <c r="E213" s="117">
        <f t="shared" si="75"/>
        <v>0</v>
      </c>
      <c r="F213" s="117">
        <f t="shared" si="75"/>
        <v>0</v>
      </c>
      <c r="G213" s="117">
        <f t="shared" si="75"/>
        <v>13517.43</v>
      </c>
      <c r="H213" s="117">
        <f t="shared" si="75"/>
        <v>0</v>
      </c>
      <c r="I213" s="117">
        <f t="shared" si="75"/>
        <v>0</v>
      </c>
      <c r="J213" s="117">
        <f t="shared" si="75"/>
        <v>0</v>
      </c>
      <c r="K213" s="117">
        <f t="shared" si="75"/>
        <v>0</v>
      </c>
      <c r="L213" s="117">
        <f t="shared" si="75"/>
        <v>0</v>
      </c>
      <c r="M213" s="117">
        <f t="shared" si="75"/>
        <v>0</v>
      </c>
      <c r="N213" s="117">
        <f t="shared" si="75"/>
        <v>0</v>
      </c>
      <c r="O213" s="117">
        <f t="shared" si="75"/>
        <v>0</v>
      </c>
      <c r="P213" s="117">
        <f t="shared" si="75"/>
        <v>13517.43</v>
      </c>
      <c r="T213" s="130"/>
    </row>
    <row r="214" spans="1:20" s="103" customFormat="1" ht="12.75">
      <c r="A214" s="156"/>
      <c r="B214" s="124" t="s">
        <v>236</v>
      </c>
      <c r="C214" s="133">
        <v>0</v>
      </c>
      <c r="D214" s="133">
        <v>0</v>
      </c>
      <c r="E214" s="133">
        <v>0</v>
      </c>
      <c r="F214" s="133">
        <v>0</v>
      </c>
      <c r="G214" s="133">
        <v>13517.43</v>
      </c>
      <c r="H214" s="133">
        <v>0</v>
      </c>
      <c r="I214" s="133">
        <v>0</v>
      </c>
      <c r="J214" s="133">
        <v>0</v>
      </c>
      <c r="K214" s="133">
        <v>0</v>
      </c>
      <c r="L214" s="133">
        <v>0</v>
      </c>
      <c r="M214" s="133">
        <v>0</v>
      </c>
      <c r="N214" s="133">
        <v>0</v>
      </c>
      <c r="O214" s="133">
        <v>0</v>
      </c>
      <c r="P214" s="122">
        <f>SUM(C214:O214)</f>
        <v>13517.43</v>
      </c>
      <c r="R214" s="20"/>
      <c r="T214" s="20"/>
    </row>
    <row r="215" spans="1:20" ht="13.5" thickBot="1">
      <c r="A215" s="154"/>
      <c r="B215" s="116" t="s">
        <v>237</v>
      </c>
      <c r="C215" s="117">
        <f aca="true" t="shared" si="76" ref="C215:P215">C204+C208+C210+C213</f>
        <v>390.56</v>
      </c>
      <c r="D215" s="117">
        <f t="shared" si="76"/>
        <v>5467.84</v>
      </c>
      <c r="E215" s="117">
        <f t="shared" si="76"/>
        <v>1952.8</v>
      </c>
      <c r="F215" s="117">
        <f t="shared" si="76"/>
        <v>2733.92</v>
      </c>
      <c r="G215" s="117">
        <f t="shared" si="76"/>
        <v>20880.96</v>
      </c>
      <c r="H215" s="117">
        <f t="shared" si="76"/>
        <v>390.56</v>
      </c>
      <c r="I215" s="117">
        <f t="shared" si="76"/>
        <v>6951.1</v>
      </c>
      <c r="J215" s="117">
        <f t="shared" si="76"/>
        <v>4405.76</v>
      </c>
      <c r="K215" s="117">
        <f t="shared" si="76"/>
        <v>9545.14</v>
      </c>
      <c r="L215" s="117">
        <f t="shared" si="76"/>
        <v>6501.66</v>
      </c>
      <c r="M215" s="117">
        <f t="shared" si="76"/>
        <v>7868.31</v>
      </c>
      <c r="N215" s="117">
        <f t="shared" si="76"/>
        <v>2156.27</v>
      </c>
      <c r="O215" s="117">
        <f t="shared" si="76"/>
        <v>32835.36</v>
      </c>
      <c r="P215" s="117">
        <f t="shared" si="76"/>
        <v>102080.24000000002</v>
      </c>
      <c r="T215" s="130"/>
    </row>
    <row r="216" spans="1:20" ht="13.5" thickBot="1">
      <c r="A216" s="111"/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40"/>
      <c r="T216" s="130"/>
    </row>
    <row r="217" spans="1:20" ht="12.75">
      <c r="A217" s="157"/>
      <c r="B217" s="116" t="s">
        <v>238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22"/>
      <c r="T217" s="130"/>
    </row>
    <row r="218" spans="1:20" ht="12.75">
      <c r="A218" s="118"/>
      <c r="B218" s="116" t="s">
        <v>201</v>
      </c>
      <c r="C218" s="117">
        <f aca="true" t="shared" si="77" ref="C218:P218">SUM(C219:C222)</f>
        <v>0</v>
      </c>
      <c r="D218" s="117">
        <f t="shared" si="77"/>
        <v>536414.4400000001</v>
      </c>
      <c r="E218" s="117">
        <f t="shared" si="77"/>
        <v>367577.36</v>
      </c>
      <c r="F218" s="117">
        <f t="shared" si="77"/>
        <v>443299.05</v>
      </c>
      <c r="G218" s="117">
        <f t="shared" si="77"/>
        <v>566956.03</v>
      </c>
      <c r="H218" s="117">
        <f t="shared" si="77"/>
        <v>304001.75</v>
      </c>
      <c r="I218" s="117">
        <f t="shared" si="77"/>
        <v>530532</v>
      </c>
      <c r="J218" s="117">
        <f t="shared" si="77"/>
        <v>468002.39</v>
      </c>
      <c r="K218" s="117">
        <f t="shared" si="77"/>
        <v>523565.51</v>
      </c>
      <c r="L218" s="117">
        <f t="shared" si="77"/>
        <v>565646.47</v>
      </c>
      <c r="M218" s="117">
        <f t="shared" si="77"/>
        <v>532284.9299999999</v>
      </c>
      <c r="N218" s="117">
        <f t="shared" si="77"/>
        <v>506185.55</v>
      </c>
      <c r="O218" s="117">
        <f t="shared" si="77"/>
        <v>464421.34</v>
      </c>
      <c r="P218" s="117">
        <f t="shared" si="77"/>
        <v>5808886.819999999</v>
      </c>
      <c r="T218" s="130"/>
    </row>
    <row r="219" spans="1:20" ht="12.75">
      <c r="A219" s="118"/>
      <c r="B219" s="124" t="s">
        <v>239</v>
      </c>
      <c r="C219" s="133">
        <v>0</v>
      </c>
      <c r="D219" s="133">
        <v>501866.95</v>
      </c>
      <c r="E219" s="133">
        <v>333029.87</v>
      </c>
      <c r="F219" s="133">
        <v>408751.56</v>
      </c>
      <c r="G219" s="133">
        <v>532408.54</v>
      </c>
      <c r="H219" s="133">
        <v>269454.26</v>
      </c>
      <c r="I219" s="133">
        <v>495984.51</v>
      </c>
      <c r="J219" s="133">
        <v>433454.9</v>
      </c>
      <c r="K219" s="133">
        <v>464934.34</v>
      </c>
      <c r="L219" s="133">
        <v>528088.52</v>
      </c>
      <c r="M219" s="133">
        <v>494726.98</v>
      </c>
      <c r="N219" s="133">
        <f>895490.99-O219</f>
        <v>468627.6</v>
      </c>
      <c r="O219" s="133">
        <f>424770.02+2093.37</f>
        <v>426863.39</v>
      </c>
      <c r="P219" s="122">
        <f>SUM(C219:O219)</f>
        <v>5358191.419999999</v>
      </c>
      <c r="T219" s="130"/>
    </row>
    <row r="220" spans="1:20" ht="12.75">
      <c r="A220" s="123"/>
      <c r="B220" s="124" t="s">
        <v>240</v>
      </c>
      <c r="C220" s="133">
        <v>0</v>
      </c>
      <c r="D220" s="133">
        <v>0</v>
      </c>
      <c r="E220" s="133">
        <v>0</v>
      </c>
      <c r="F220" s="133">
        <v>0</v>
      </c>
      <c r="G220" s="133">
        <v>0</v>
      </c>
      <c r="H220" s="133">
        <v>0</v>
      </c>
      <c r="I220" s="133">
        <v>0</v>
      </c>
      <c r="J220" s="133">
        <v>0</v>
      </c>
      <c r="K220" s="133">
        <v>0</v>
      </c>
      <c r="L220" s="133">
        <v>0</v>
      </c>
      <c r="M220" s="133">
        <v>0</v>
      </c>
      <c r="N220" s="133">
        <v>0</v>
      </c>
      <c r="O220" s="133"/>
      <c r="P220" s="122">
        <f>SUM(C220:O220)</f>
        <v>0</v>
      </c>
      <c r="T220" s="130"/>
    </row>
    <row r="221" spans="1:20" ht="12.75">
      <c r="A221" s="123"/>
      <c r="B221" s="124" t="s">
        <v>241</v>
      </c>
      <c r="C221" s="133">
        <v>0</v>
      </c>
      <c r="D221" s="133">
        <v>34547.49</v>
      </c>
      <c r="E221" s="133">
        <v>34547.49</v>
      </c>
      <c r="F221" s="133">
        <v>34547.49</v>
      </c>
      <c r="G221" s="133">
        <v>34547.49</v>
      </c>
      <c r="H221" s="133">
        <v>34547.49</v>
      </c>
      <c r="I221" s="133">
        <v>34547.49</v>
      </c>
      <c r="J221" s="133">
        <v>34547.49</v>
      </c>
      <c r="K221" s="133">
        <v>58631.17</v>
      </c>
      <c r="L221" s="133">
        <v>37557.95</v>
      </c>
      <c r="M221" s="133">
        <v>37557.95</v>
      </c>
      <c r="N221" s="133">
        <f>75115.9-O221</f>
        <v>37557.95</v>
      </c>
      <c r="O221" s="133">
        <v>37557.95</v>
      </c>
      <c r="P221" s="122">
        <f>SUM(C221:O221)</f>
        <v>450695.4</v>
      </c>
      <c r="T221" s="130"/>
    </row>
    <row r="222" spans="1:20" ht="12.75">
      <c r="A222" s="123" t="s">
        <v>20</v>
      </c>
      <c r="B222" s="124" t="s">
        <v>242</v>
      </c>
      <c r="C222" s="133">
        <v>0</v>
      </c>
      <c r="D222" s="133">
        <v>0</v>
      </c>
      <c r="E222" s="133">
        <v>0</v>
      </c>
      <c r="F222" s="133">
        <v>0</v>
      </c>
      <c r="G222" s="133">
        <v>0</v>
      </c>
      <c r="H222" s="133">
        <v>0</v>
      </c>
      <c r="I222" s="133">
        <v>0</v>
      </c>
      <c r="J222" s="133">
        <v>0</v>
      </c>
      <c r="K222" s="133">
        <v>0</v>
      </c>
      <c r="L222" s="133">
        <v>0</v>
      </c>
      <c r="M222" s="133">
        <v>0</v>
      </c>
      <c r="N222" s="133">
        <v>0</v>
      </c>
      <c r="O222" s="133">
        <v>0</v>
      </c>
      <c r="P222" s="122">
        <f>SUM(C222:O222)</f>
        <v>0</v>
      </c>
      <c r="T222" s="130"/>
    </row>
    <row r="223" spans="1:20" ht="12.75">
      <c r="A223" s="118"/>
      <c r="B223" s="116" t="s">
        <v>228</v>
      </c>
      <c r="C223" s="117">
        <f aca="true" t="shared" si="78" ref="C223:P223">SUM(C224:C226)</f>
        <v>5772.35</v>
      </c>
      <c r="D223" s="117">
        <f t="shared" si="78"/>
        <v>0</v>
      </c>
      <c r="E223" s="117">
        <f t="shared" si="78"/>
        <v>0</v>
      </c>
      <c r="F223" s="117">
        <f t="shared" si="78"/>
        <v>0</v>
      </c>
      <c r="G223" s="117">
        <f t="shared" si="78"/>
        <v>0</v>
      </c>
      <c r="H223" s="117">
        <f t="shared" si="78"/>
        <v>23241.02</v>
      </c>
      <c r="I223" s="117">
        <f t="shared" si="78"/>
        <v>0</v>
      </c>
      <c r="J223" s="117">
        <f t="shared" si="78"/>
        <v>0</v>
      </c>
      <c r="K223" s="117">
        <f t="shared" si="78"/>
        <v>0</v>
      </c>
      <c r="L223" s="117">
        <f t="shared" si="78"/>
        <v>0</v>
      </c>
      <c r="M223" s="117">
        <f t="shared" si="78"/>
        <v>0</v>
      </c>
      <c r="N223" s="117">
        <f t="shared" si="78"/>
        <v>0</v>
      </c>
      <c r="O223" s="117">
        <f t="shared" si="78"/>
        <v>0</v>
      </c>
      <c r="P223" s="117">
        <f t="shared" si="78"/>
        <v>29013.370000000003</v>
      </c>
      <c r="T223" s="130"/>
    </row>
    <row r="224" spans="1:20" ht="12.75">
      <c r="A224" s="118"/>
      <c r="B224" s="119" t="s">
        <v>243</v>
      </c>
      <c r="C224" s="133">
        <v>5772.35</v>
      </c>
      <c r="D224" s="133">
        <v>0</v>
      </c>
      <c r="E224" s="133">
        <v>0</v>
      </c>
      <c r="F224" s="133">
        <v>0</v>
      </c>
      <c r="G224" s="133">
        <v>0</v>
      </c>
      <c r="H224" s="133">
        <v>23241.02</v>
      </c>
      <c r="I224" s="133">
        <v>0</v>
      </c>
      <c r="J224" s="133">
        <v>0</v>
      </c>
      <c r="K224" s="133">
        <v>0</v>
      </c>
      <c r="L224" s="133">
        <v>0</v>
      </c>
      <c r="M224" s="133">
        <v>0</v>
      </c>
      <c r="N224" s="133">
        <v>0</v>
      </c>
      <c r="O224" s="133">
        <v>0</v>
      </c>
      <c r="P224" s="122">
        <f>SUM(C224:O224)</f>
        <v>29013.370000000003</v>
      </c>
      <c r="T224" s="130"/>
    </row>
    <row r="225" spans="1:20" ht="12.75">
      <c r="A225" s="118"/>
      <c r="B225" s="119" t="s">
        <v>244</v>
      </c>
      <c r="C225" s="133">
        <v>0</v>
      </c>
      <c r="D225" s="133">
        <v>0</v>
      </c>
      <c r="E225" s="133">
        <v>0</v>
      </c>
      <c r="F225" s="133">
        <v>0</v>
      </c>
      <c r="G225" s="133">
        <v>0</v>
      </c>
      <c r="H225" s="133">
        <v>0</v>
      </c>
      <c r="I225" s="133">
        <v>0</v>
      </c>
      <c r="J225" s="133">
        <v>0</v>
      </c>
      <c r="K225" s="133">
        <v>0</v>
      </c>
      <c r="L225" s="133">
        <v>0</v>
      </c>
      <c r="M225" s="133">
        <v>0</v>
      </c>
      <c r="N225" s="133">
        <v>0</v>
      </c>
      <c r="O225" s="133">
        <v>0</v>
      </c>
      <c r="P225" s="122">
        <f>SUM(C225:O225)</f>
        <v>0</v>
      </c>
      <c r="T225" s="130"/>
    </row>
    <row r="226" spans="1:20" ht="12.75">
      <c r="A226" s="118"/>
      <c r="B226" s="119" t="s">
        <v>245</v>
      </c>
      <c r="C226" s="133">
        <v>0</v>
      </c>
      <c r="D226" s="133">
        <v>0</v>
      </c>
      <c r="E226" s="133">
        <v>0</v>
      </c>
      <c r="F226" s="133">
        <v>0</v>
      </c>
      <c r="G226" s="133">
        <v>0</v>
      </c>
      <c r="H226" s="133">
        <v>0</v>
      </c>
      <c r="I226" s="133">
        <v>0</v>
      </c>
      <c r="J226" s="133">
        <v>0</v>
      </c>
      <c r="K226" s="133">
        <v>0</v>
      </c>
      <c r="L226" s="133">
        <v>0</v>
      </c>
      <c r="M226" s="133">
        <v>0</v>
      </c>
      <c r="N226" s="133">
        <v>0</v>
      </c>
      <c r="O226" s="133">
        <v>0</v>
      </c>
      <c r="P226" s="122">
        <f>SUM(C226:O226)</f>
        <v>0</v>
      </c>
      <c r="T226" s="130"/>
    </row>
    <row r="227" spans="1:20" ht="13.5" thickBot="1">
      <c r="A227" s="154"/>
      <c r="B227" s="116" t="s">
        <v>246</v>
      </c>
      <c r="C227" s="117">
        <f aca="true" t="shared" si="79" ref="C227:P227">C218+C223</f>
        <v>5772.35</v>
      </c>
      <c r="D227" s="117">
        <f t="shared" si="79"/>
        <v>536414.4400000001</v>
      </c>
      <c r="E227" s="117">
        <f t="shared" si="79"/>
        <v>367577.36</v>
      </c>
      <c r="F227" s="117">
        <f t="shared" si="79"/>
        <v>443299.05</v>
      </c>
      <c r="G227" s="117">
        <f t="shared" si="79"/>
        <v>566956.03</v>
      </c>
      <c r="H227" s="117">
        <f t="shared" si="79"/>
        <v>327242.77</v>
      </c>
      <c r="I227" s="117">
        <f t="shared" si="79"/>
        <v>530532</v>
      </c>
      <c r="J227" s="117">
        <f t="shared" si="79"/>
        <v>468002.39</v>
      </c>
      <c r="K227" s="117">
        <f t="shared" si="79"/>
        <v>523565.51</v>
      </c>
      <c r="L227" s="117">
        <f t="shared" si="79"/>
        <v>565646.47</v>
      </c>
      <c r="M227" s="117">
        <f t="shared" si="79"/>
        <v>532284.9299999999</v>
      </c>
      <c r="N227" s="117">
        <f t="shared" si="79"/>
        <v>506185.55</v>
      </c>
      <c r="O227" s="117">
        <f t="shared" si="79"/>
        <v>464421.34</v>
      </c>
      <c r="P227" s="117">
        <f t="shared" si="79"/>
        <v>5837900.1899999995</v>
      </c>
      <c r="T227" s="130"/>
    </row>
    <row r="228" spans="1:20" ht="13.5" thickBot="1">
      <c r="A228" s="111"/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40"/>
      <c r="T228" s="130"/>
    </row>
    <row r="229" spans="1:20" ht="12.75">
      <c r="A229" s="157"/>
      <c r="B229" s="116" t="s">
        <v>247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22"/>
      <c r="T229" s="130"/>
    </row>
    <row r="230" spans="1:20" ht="12.75">
      <c r="A230" s="118"/>
      <c r="B230" s="116" t="s">
        <v>220</v>
      </c>
      <c r="C230" s="117">
        <f>SUM(C231)</f>
        <v>0</v>
      </c>
      <c r="D230" s="117">
        <f aca="true" t="shared" si="80" ref="D230:P230">SUM(D231)</f>
        <v>0</v>
      </c>
      <c r="E230" s="117">
        <f t="shared" si="80"/>
        <v>0</v>
      </c>
      <c r="F230" s="117">
        <f t="shared" si="80"/>
        <v>0</v>
      </c>
      <c r="G230" s="117">
        <f t="shared" si="80"/>
        <v>0</v>
      </c>
      <c r="H230" s="117">
        <f t="shared" si="80"/>
        <v>0</v>
      </c>
      <c r="I230" s="117">
        <f t="shared" si="80"/>
        <v>0</v>
      </c>
      <c r="J230" s="117">
        <f t="shared" si="80"/>
        <v>0</v>
      </c>
      <c r="K230" s="117">
        <f t="shared" si="80"/>
        <v>0</v>
      </c>
      <c r="L230" s="117">
        <f t="shared" si="80"/>
        <v>0</v>
      </c>
      <c r="M230" s="117">
        <f t="shared" si="80"/>
        <v>0</v>
      </c>
      <c r="N230" s="117">
        <f t="shared" si="80"/>
        <v>0</v>
      </c>
      <c r="O230" s="117">
        <f t="shared" si="80"/>
        <v>0</v>
      </c>
      <c r="P230" s="117">
        <f t="shared" si="80"/>
        <v>0</v>
      </c>
      <c r="T230" s="130"/>
    </row>
    <row r="231" spans="1:20" ht="12.75">
      <c r="A231" s="118"/>
      <c r="B231" s="119" t="s">
        <v>248</v>
      </c>
      <c r="C231" s="133">
        <v>0</v>
      </c>
      <c r="D231" s="133">
        <v>0</v>
      </c>
      <c r="E231" s="133">
        <v>0</v>
      </c>
      <c r="F231" s="120">
        <v>0</v>
      </c>
      <c r="G231" s="120">
        <v>0</v>
      </c>
      <c r="H231" s="120">
        <v>0</v>
      </c>
      <c r="I231" s="133">
        <v>0</v>
      </c>
      <c r="J231" s="133">
        <v>0</v>
      </c>
      <c r="K231" s="133">
        <v>0</v>
      </c>
      <c r="L231" s="133">
        <v>0</v>
      </c>
      <c r="M231" s="133">
        <v>0</v>
      </c>
      <c r="N231" s="133">
        <v>0</v>
      </c>
      <c r="O231" s="133">
        <v>0</v>
      </c>
      <c r="P231" s="122">
        <f>SUM(C231:O231)</f>
        <v>0</v>
      </c>
      <c r="T231" s="130"/>
    </row>
    <row r="232" spans="1:20" ht="12.75">
      <c r="A232" s="118"/>
      <c r="B232" s="116" t="s">
        <v>169</v>
      </c>
      <c r="C232" s="117">
        <f aca="true" t="shared" si="81" ref="C232:P232">SUM(C233:C233)</f>
        <v>0</v>
      </c>
      <c r="D232" s="117">
        <f t="shared" si="81"/>
        <v>4178.56</v>
      </c>
      <c r="E232" s="117">
        <f t="shared" si="81"/>
        <v>9253.46</v>
      </c>
      <c r="F232" s="117">
        <f t="shared" si="81"/>
        <v>54886.27</v>
      </c>
      <c r="G232" s="117">
        <f t="shared" si="81"/>
        <v>39375.73</v>
      </c>
      <c r="H232" s="117">
        <f t="shared" si="81"/>
        <v>24402.34</v>
      </c>
      <c r="I232" s="117">
        <f t="shared" si="81"/>
        <v>103910.2</v>
      </c>
      <c r="J232" s="117">
        <f t="shared" si="81"/>
        <v>28781.56</v>
      </c>
      <c r="K232" s="117">
        <f t="shared" si="81"/>
        <v>57800.49</v>
      </c>
      <c r="L232" s="117">
        <f t="shared" si="81"/>
        <v>71137.42</v>
      </c>
      <c r="M232" s="117">
        <f t="shared" si="81"/>
        <v>69829.71</v>
      </c>
      <c r="N232" s="117">
        <f t="shared" si="81"/>
        <v>138505.08000000002</v>
      </c>
      <c r="O232" s="117">
        <f t="shared" si="81"/>
        <v>201410.41999999998</v>
      </c>
      <c r="P232" s="117">
        <f t="shared" si="81"/>
        <v>803471.24</v>
      </c>
      <c r="Q232" s="128"/>
      <c r="R232" s="205"/>
      <c r="S232" s="128"/>
      <c r="T232" s="130"/>
    </row>
    <row r="233" spans="1:20" ht="12.75">
      <c r="A233" s="118"/>
      <c r="B233" s="119" t="s">
        <v>249</v>
      </c>
      <c r="C233" s="120">
        <v>0</v>
      </c>
      <c r="D233" s="120">
        <v>4178.56</v>
      </c>
      <c r="E233" s="120">
        <v>9253.46</v>
      </c>
      <c r="F233" s="120">
        <v>54886.27</v>
      </c>
      <c r="G233" s="120">
        <v>39375.73</v>
      </c>
      <c r="H233" s="120">
        <v>24402.34</v>
      </c>
      <c r="I233" s="120">
        <v>103910.2</v>
      </c>
      <c r="J233" s="120">
        <v>28781.56</v>
      </c>
      <c r="K233" s="120">
        <v>57800.49</v>
      </c>
      <c r="L233" s="120">
        <v>71137.42</v>
      </c>
      <c r="M233" s="120">
        <v>69829.71</v>
      </c>
      <c r="N233" s="120">
        <f>339915.5-O233</f>
        <v>138505.08000000002</v>
      </c>
      <c r="O233" s="120">
        <f>26433.56+174976.86</f>
        <v>201410.41999999998</v>
      </c>
      <c r="P233" s="122">
        <f>SUM(C233:O233)</f>
        <v>803471.24</v>
      </c>
      <c r="T233" s="130"/>
    </row>
    <row r="234" spans="1:20" ht="12.75">
      <c r="A234" s="123"/>
      <c r="B234" s="116" t="s">
        <v>171</v>
      </c>
      <c r="C234" s="117">
        <f aca="true" t="shared" si="82" ref="C234:P234">SUM(C235)</f>
        <v>5622.5</v>
      </c>
      <c r="D234" s="117">
        <f t="shared" si="82"/>
        <v>12285</v>
      </c>
      <c r="E234" s="117">
        <f t="shared" si="82"/>
        <v>23400</v>
      </c>
      <c r="F234" s="117">
        <f t="shared" si="82"/>
        <v>43737.5</v>
      </c>
      <c r="G234" s="117">
        <f t="shared" si="82"/>
        <v>40707</v>
      </c>
      <c r="H234" s="117">
        <f t="shared" si="82"/>
        <v>83630</v>
      </c>
      <c r="I234" s="117">
        <f t="shared" si="82"/>
        <v>16632.5</v>
      </c>
      <c r="J234" s="117">
        <f t="shared" si="82"/>
        <v>100765.32</v>
      </c>
      <c r="K234" s="117">
        <f t="shared" si="82"/>
        <v>19560</v>
      </c>
      <c r="L234" s="117">
        <f t="shared" si="82"/>
        <v>57651.54</v>
      </c>
      <c r="M234" s="117">
        <f t="shared" si="82"/>
        <v>27663.04</v>
      </c>
      <c r="N234" s="117">
        <f t="shared" si="82"/>
        <v>290552.2100000001</v>
      </c>
      <c r="O234" s="117">
        <f t="shared" si="82"/>
        <v>833969.91</v>
      </c>
      <c r="P234" s="117">
        <f t="shared" si="82"/>
        <v>1556176.52</v>
      </c>
      <c r="T234" s="130"/>
    </row>
    <row r="235" spans="1:20" ht="12.75">
      <c r="A235" s="123" t="s">
        <v>21</v>
      </c>
      <c r="B235" s="119" t="s">
        <v>250</v>
      </c>
      <c r="C235" s="133">
        <v>5622.5</v>
      </c>
      <c r="D235" s="133">
        <v>12285</v>
      </c>
      <c r="E235" s="133">
        <v>23400</v>
      </c>
      <c r="F235" s="133">
        <v>43737.5</v>
      </c>
      <c r="G235" s="133">
        <v>40707</v>
      </c>
      <c r="H235" s="133">
        <v>83630</v>
      </c>
      <c r="I235" s="133">
        <v>16632.5</v>
      </c>
      <c r="J235" s="133">
        <v>100765.32</v>
      </c>
      <c r="K235" s="133">
        <v>19560</v>
      </c>
      <c r="L235" s="133">
        <v>57651.54</v>
      </c>
      <c r="M235" s="133">
        <v>27663.04</v>
      </c>
      <c r="N235" s="133">
        <f>1124522.12-O235</f>
        <v>290552.2100000001</v>
      </c>
      <c r="O235" s="133">
        <f>65271.9+20734+35000+712564.01+400</f>
        <v>833969.91</v>
      </c>
      <c r="P235" s="122">
        <f>SUM(C235:O235)</f>
        <v>1556176.52</v>
      </c>
      <c r="T235" s="130"/>
    </row>
    <row r="236" spans="1:20" ht="12.75">
      <c r="A236" s="118"/>
      <c r="B236" s="116" t="s">
        <v>173</v>
      </c>
      <c r="C236" s="117">
        <f aca="true" t="shared" si="83" ref="C236:P236">SUM(C237:C237)</f>
        <v>0</v>
      </c>
      <c r="D236" s="117">
        <f t="shared" si="83"/>
        <v>0</v>
      </c>
      <c r="E236" s="117">
        <f t="shared" si="83"/>
        <v>0</v>
      </c>
      <c r="F236" s="117">
        <f t="shared" si="83"/>
        <v>0</v>
      </c>
      <c r="G236" s="117">
        <f t="shared" si="83"/>
        <v>0</v>
      </c>
      <c r="H236" s="117">
        <f t="shared" si="83"/>
        <v>0</v>
      </c>
      <c r="I236" s="117">
        <f t="shared" si="83"/>
        <v>0</v>
      </c>
      <c r="J236" s="117">
        <f t="shared" si="83"/>
        <v>0</v>
      </c>
      <c r="K236" s="117">
        <f t="shared" si="83"/>
        <v>0</v>
      </c>
      <c r="L236" s="117">
        <f t="shared" si="83"/>
        <v>0</v>
      </c>
      <c r="M236" s="117">
        <f t="shared" si="83"/>
        <v>0</v>
      </c>
      <c r="N236" s="117">
        <f t="shared" si="83"/>
        <v>0</v>
      </c>
      <c r="O236" s="117">
        <f t="shared" si="83"/>
        <v>0</v>
      </c>
      <c r="P236" s="117">
        <f t="shared" si="83"/>
        <v>0</v>
      </c>
      <c r="T236" s="130"/>
    </row>
    <row r="237" spans="1:20" ht="12.75">
      <c r="A237" s="118"/>
      <c r="B237" s="119" t="s">
        <v>251</v>
      </c>
      <c r="C237" s="120">
        <v>0</v>
      </c>
      <c r="D237" s="120">
        <v>0</v>
      </c>
      <c r="E237" s="120">
        <v>0</v>
      </c>
      <c r="F237" s="120">
        <v>0</v>
      </c>
      <c r="G237" s="120">
        <v>0</v>
      </c>
      <c r="H237" s="120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  <c r="N237" s="120">
        <v>0</v>
      </c>
      <c r="O237" s="120">
        <v>0</v>
      </c>
      <c r="P237" s="122">
        <f>SUM(C237:O237)</f>
        <v>0</v>
      </c>
      <c r="T237" s="130"/>
    </row>
    <row r="238" spans="1:20" ht="12.75">
      <c r="A238" s="118"/>
      <c r="B238" s="116" t="s">
        <v>179</v>
      </c>
      <c r="C238" s="117">
        <f>SUM(C239)</f>
        <v>0</v>
      </c>
      <c r="D238" s="117">
        <f aca="true" t="shared" si="84" ref="D238:P238">SUM(D239)</f>
        <v>0</v>
      </c>
      <c r="E238" s="117">
        <f t="shared" si="84"/>
        <v>0</v>
      </c>
      <c r="F238" s="117">
        <f t="shared" si="84"/>
        <v>0</v>
      </c>
      <c r="G238" s="117">
        <f t="shared" si="84"/>
        <v>0</v>
      </c>
      <c r="H238" s="117">
        <f t="shared" si="84"/>
        <v>0</v>
      </c>
      <c r="I238" s="117">
        <f t="shared" si="84"/>
        <v>0</v>
      </c>
      <c r="J238" s="117">
        <f t="shared" si="84"/>
        <v>0</v>
      </c>
      <c r="K238" s="117">
        <f t="shared" si="84"/>
        <v>0</v>
      </c>
      <c r="L238" s="117">
        <f t="shared" si="84"/>
        <v>0</v>
      </c>
      <c r="M238" s="117">
        <f t="shared" si="84"/>
        <v>0</v>
      </c>
      <c r="N238" s="117">
        <f t="shared" si="84"/>
        <v>0</v>
      </c>
      <c r="O238" s="117">
        <f t="shared" si="84"/>
        <v>0</v>
      </c>
      <c r="P238" s="117">
        <f t="shared" si="84"/>
        <v>0</v>
      </c>
      <c r="T238" s="130"/>
    </row>
    <row r="239" spans="1:20" ht="12.75">
      <c r="A239" s="118"/>
      <c r="B239" s="119" t="s">
        <v>252</v>
      </c>
      <c r="C239" s="120">
        <v>0</v>
      </c>
      <c r="D239" s="120">
        <v>0</v>
      </c>
      <c r="E239" s="120">
        <v>0</v>
      </c>
      <c r="F239" s="120">
        <v>0</v>
      </c>
      <c r="G239" s="120">
        <v>0</v>
      </c>
      <c r="H239" s="120">
        <v>0</v>
      </c>
      <c r="I239" s="120">
        <v>0</v>
      </c>
      <c r="J239" s="120">
        <v>0</v>
      </c>
      <c r="K239" s="120">
        <v>0</v>
      </c>
      <c r="L239" s="120">
        <v>0</v>
      </c>
      <c r="M239" s="120">
        <v>0</v>
      </c>
      <c r="N239" s="120">
        <v>0</v>
      </c>
      <c r="O239" s="120">
        <v>0</v>
      </c>
      <c r="P239" s="122">
        <f>SUM(C239:O239)</f>
        <v>0</v>
      </c>
      <c r="T239" s="130"/>
    </row>
    <row r="240" spans="1:20" ht="12.75">
      <c r="A240" s="118"/>
      <c r="B240" s="116" t="s">
        <v>193</v>
      </c>
      <c r="C240" s="117">
        <f aca="true" t="shared" si="85" ref="C240:P240">SUM(C241)</f>
        <v>0</v>
      </c>
      <c r="D240" s="117">
        <f t="shared" si="85"/>
        <v>0</v>
      </c>
      <c r="E240" s="117">
        <f t="shared" si="85"/>
        <v>0</v>
      </c>
      <c r="F240" s="117">
        <f t="shared" si="85"/>
        <v>0</v>
      </c>
      <c r="G240" s="117">
        <f t="shared" si="85"/>
        <v>0</v>
      </c>
      <c r="H240" s="117">
        <f t="shared" si="85"/>
        <v>0</v>
      </c>
      <c r="I240" s="117">
        <f t="shared" si="85"/>
        <v>0</v>
      </c>
      <c r="J240" s="117">
        <f t="shared" si="85"/>
        <v>0</v>
      </c>
      <c r="K240" s="117">
        <f t="shared" si="85"/>
        <v>0</v>
      </c>
      <c r="L240" s="117">
        <f t="shared" si="85"/>
        <v>1600</v>
      </c>
      <c r="M240" s="117">
        <f t="shared" si="85"/>
        <v>0</v>
      </c>
      <c r="N240" s="117">
        <f t="shared" si="85"/>
        <v>0</v>
      </c>
      <c r="O240" s="117">
        <f t="shared" si="85"/>
        <v>0</v>
      </c>
      <c r="P240" s="117">
        <f t="shared" si="85"/>
        <v>1600</v>
      </c>
      <c r="T240" s="130"/>
    </row>
    <row r="241" spans="1:20" ht="12.75">
      <c r="A241" s="118"/>
      <c r="B241" s="119" t="s">
        <v>253</v>
      </c>
      <c r="C241" s="120">
        <v>0</v>
      </c>
      <c r="D241" s="120">
        <v>0</v>
      </c>
      <c r="E241" s="120">
        <v>0</v>
      </c>
      <c r="F241" s="120"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1600</v>
      </c>
      <c r="M241" s="120">
        <v>0</v>
      </c>
      <c r="N241" s="120">
        <v>0</v>
      </c>
      <c r="O241" s="120">
        <v>0</v>
      </c>
      <c r="P241" s="122">
        <f>SUM(C241:O241)</f>
        <v>1600</v>
      </c>
      <c r="T241" s="130"/>
    </row>
    <row r="242" spans="1:20" ht="13.5" thickBot="1">
      <c r="A242" s="154"/>
      <c r="B242" s="116" t="s">
        <v>254</v>
      </c>
      <c r="C242" s="117">
        <f>C232+C234+C236+C240</f>
        <v>5622.5</v>
      </c>
      <c r="D242" s="117">
        <f>D232+D234+D236+D240</f>
        <v>16463.56</v>
      </c>
      <c r="E242" s="117">
        <f>E232+E234+E236+E240</f>
        <v>32653.46</v>
      </c>
      <c r="F242" s="117">
        <f aca="true" t="shared" si="86" ref="F242:P242">F232+F234+F236+F240+F238+F230</f>
        <v>98623.76999999999</v>
      </c>
      <c r="G242" s="117">
        <f t="shared" si="86"/>
        <v>80082.73000000001</v>
      </c>
      <c r="H242" s="117">
        <f t="shared" si="86"/>
        <v>108032.34</v>
      </c>
      <c r="I242" s="117">
        <f t="shared" si="86"/>
        <v>120542.7</v>
      </c>
      <c r="J242" s="117">
        <f t="shared" si="86"/>
        <v>129546.88</v>
      </c>
      <c r="K242" s="117">
        <f t="shared" si="86"/>
        <v>77360.48999999999</v>
      </c>
      <c r="L242" s="117">
        <f t="shared" si="86"/>
        <v>130388.95999999999</v>
      </c>
      <c r="M242" s="117">
        <f t="shared" si="86"/>
        <v>97492.75</v>
      </c>
      <c r="N242" s="117">
        <f t="shared" si="86"/>
        <v>429057.2900000001</v>
      </c>
      <c r="O242" s="117">
        <f t="shared" si="86"/>
        <v>1035380.3300000001</v>
      </c>
      <c r="P242" s="117">
        <f t="shared" si="86"/>
        <v>2361247.76</v>
      </c>
      <c r="T242" s="130"/>
    </row>
    <row r="243" spans="1:20" ht="13.5" thickBot="1">
      <c r="A243" s="111"/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40"/>
      <c r="T243" s="130"/>
    </row>
    <row r="244" spans="1:20" ht="12.75">
      <c r="A244" s="157"/>
      <c r="B244" s="116" t="s">
        <v>255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22"/>
      <c r="T244" s="130"/>
    </row>
    <row r="245" spans="1:20" ht="12.75">
      <c r="A245" s="123" t="s">
        <v>22</v>
      </c>
      <c r="B245" s="116" t="s">
        <v>220</v>
      </c>
      <c r="C245" s="117">
        <f aca="true" t="shared" si="87" ref="C245:P245">SUM(C246:C246)</f>
        <v>0</v>
      </c>
      <c r="D245" s="117">
        <f t="shared" si="87"/>
        <v>1870.71</v>
      </c>
      <c r="E245" s="117">
        <f t="shared" si="87"/>
        <v>541.1</v>
      </c>
      <c r="F245" s="117">
        <f t="shared" si="87"/>
        <v>36759.86</v>
      </c>
      <c r="G245" s="117">
        <f t="shared" si="87"/>
        <v>3058</v>
      </c>
      <c r="H245" s="117">
        <f t="shared" si="87"/>
        <v>3096.9</v>
      </c>
      <c r="I245" s="117">
        <f t="shared" si="87"/>
        <v>35534.15</v>
      </c>
      <c r="J245" s="117">
        <f t="shared" si="87"/>
        <v>10507.87</v>
      </c>
      <c r="K245" s="117">
        <f t="shared" si="87"/>
        <v>3536.74</v>
      </c>
      <c r="L245" s="117">
        <f t="shared" si="87"/>
        <v>26536.71</v>
      </c>
      <c r="M245" s="117">
        <f t="shared" si="87"/>
        <v>25727.19</v>
      </c>
      <c r="N245" s="117">
        <f t="shared" si="87"/>
        <v>7229.360000000044</v>
      </c>
      <c r="O245" s="117">
        <f t="shared" si="87"/>
        <v>356299.29</v>
      </c>
      <c r="P245" s="117">
        <f t="shared" si="87"/>
        <v>510697.88</v>
      </c>
      <c r="T245" s="130"/>
    </row>
    <row r="246" spans="1:20" ht="13.5" thickBot="1">
      <c r="A246" s="154"/>
      <c r="B246" s="119" t="s">
        <v>256</v>
      </c>
      <c r="C246" s="120">
        <v>0</v>
      </c>
      <c r="D246" s="120">
        <v>1870.71</v>
      </c>
      <c r="E246" s="120">
        <v>541.1</v>
      </c>
      <c r="F246" s="120">
        <v>36759.86</v>
      </c>
      <c r="G246" s="120">
        <v>3058</v>
      </c>
      <c r="H246" s="120">
        <v>3096.9</v>
      </c>
      <c r="I246" s="120">
        <v>35534.15</v>
      </c>
      <c r="J246" s="120">
        <v>10507.87</v>
      </c>
      <c r="K246" s="120">
        <v>3536.74</v>
      </c>
      <c r="L246" s="120">
        <v>26536.71</v>
      </c>
      <c r="M246" s="120">
        <v>25727.19</v>
      </c>
      <c r="N246" s="120">
        <f>363528.65-O246</f>
        <v>7229.360000000044</v>
      </c>
      <c r="O246" s="120">
        <f>50500+749.79+305049.5</f>
        <v>356299.29</v>
      </c>
      <c r="P246" s="122">
        <f>SUM(C246:O246)</f>
        <v>510697.88</v>
      </c>
      <c r="T246" s="130"/>
    </row>
    <row r="247" spans="1:20" ht="13.5" thickBot="1">
      <c r="A247" s="111"/>
      <c r="B247" s="111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40"/>
      <c r="T247" s="130"/>
    </row>
    <row r="248" spans="1:20" ht="12.75">
      <c r="A248" s="157"/>
      <c r="B248" s="116" t="s">
        <v>257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22"/>
      <c r="T248" s="130"/>
    </row>
    <row r="249" spans="1:20" ht="12.75">
      <c r="A249" s="123"/>
      <c r="B249" s="116" t="s">
        <v>220</v>
      </c>
      <c r="C249" s="117">
        <f aca="true" t="shared" si="88" ref="C249:P249">SUM(C250:C251)</f>
        <v>0</v>
      </c>
      <c r="D249" s="117">
        <f t="shared" si="88"/>
        <v>700</v>
      </c>
      <c r="E249" s="117">
        <f t="shared" si="88"/>
        <v>243.8</v>
      </c>
      <c r="F249" s="117">
        <f t="shared" si="88"/>
        <v>0</v>
      </c>
      <c r="G249" s="117">
        <f t="shared" si="88"/>
        <v>8888.4</v>
      </c>
      <c r="H249" s="117">
        <f t="shared" si="88"/>
        <v>541.2</v>
      </c>
      <c r="I249" s="117">
        <f t="shared" si="88"/>
        <v>7778.15</v>
      </c>
      <c r="J249" s="117">
        <f t="shared" si="88"/>
        <v>611</v>
      </c>
      <c r="K249" s="117">
        <f t="shared" si="88"/>
        <v>1775</v>
      </c>
      <c r="L249" s="117">
        <f t="shared" si="88"/>
        <v>1924.6</v>
      </c>
      <c r="M249" s="117">
        <f t="shared" si="88"/>
        <v>1070.4</v>
      </c>
      <c r="N249" s="117">
        <f t="shared" si="88"/>
        <v>84.19999999999982</v>
      </c>
      <c r="O249" s="117">
        <f t="shared" si="88"/>
        <v>4880</v>
      </c>
      <c r="P249" s="117">
        <f t="shared" si="88"/>
        <v>28496.75</v>
      </c>
      <c r="T249" s="130"/>
    </row>
    <row r="250" spans="1:20" ht="12.75">
      <c r="A250" s="123" t="s">
        <v>23</v>
      </c>
      <c r="B250" s="119" t="s">
        <v>258</v>
      </c>
      <c r="C250" s="133">
        <v>0</v>
      </c>
      <c r="D250" s="133">
        <v>700</v>
      </c>
      <c r="E250" s="133">
        <v>243.8</v>
      </c>
      <c r="F250" s="133">
        <v>0</v>
      </c>
      <c r="G250" s="133">
        <v>8888.4</v>
      </c>
      <c r="H250" s="133">
        <v>541.2</v>
      </c>
      <c r="I250" s="133">
        <v>7778.15</v>
      </c>
      <c r="J250" s="133">
        <v>611</v>
      </c>
      <c r="K250" s="133">
        <v>1775</v>
      </c>
      <c r="L250" s="133">
        <v>1924.6</v>
      </c>
      <c r="M250" s="133">
        <v>1070.4</v>
      </c>
      <c r="N250" s="133">
        <f>4964.2-O250</f>
        <v>84.19999999999982</v>
      </c>
      <c r="O250" s="133">
        <v>4880</v>
      </c>
      <c r="P250" s="122">
        <f>SUM(C250:O250)</f>
        <v>28496.75</v>
      </c>
      <c r="T250" s="130"/>
    </row>
    <row r="251" spans="1:20" ht="13.5" thickBot="1">
      <c r="A251" s="154"/>
      <c r="B251" s="119" t="s">
        <v>259</v>
      </c>
      <c r="C251" s="120">
        <v>0</v>
      </c>
      <c r="D251" s="120">
        <v>0</v>
      </c>
      <c r="E251" s="120">
        <v>0</v>
      </c>
      <c r="F251" s="120"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2">
        <f>SUM(C251:O251)</f>
        <v>0</v>
      </c>
      <c r="T251" s="130"/>
    </row>
    <row r="252" spans="1:20" ht="13.5" thickBot="1">
      <c r="A252" s="111"/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40"/>
      <c r="T252" s="130"/>
    </row>
    <row r="253" spans="1:20" ht="12.75">
      <c r="A253" s="157"/>
      <c r="B253" s="116" t="s">
        <v>260</v>
      </c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22"/>
      <c r="T253" s="130"/>
    </row>
    <row r="254" spans="1:20" ht="12.75">
      <c r="A254" s="123"/>
      <c r="B254" s="116" t="s">
        <v>220</v>
      </c>
      <c r="C254" s="117">
        <f aca="true" t="shared" si="89" ref="C254:P254">SUM(C255:C255)</f>
        <v>0</v>
      </c>
      <c r="D254" s="117">
        <f t="shared" si="89"/>
        <v>0</v>
      </c>
      <c r="E254" s="117">
        <f t="shared" si="89"/>
        <v>0</v>
      </c>
      <c r="F254" s="117">
        <f t="shared" si="89"/>
        <v>0</v>
      </c>
      <c r="G254" s="117">
        <f t="shared" si="89"/>
        <v>0</v>
      </c>
      <c r="H254" s="117">
        <f t="shared" si="89"/>
        <v>0</v>
      </c>
      <c r="I254" s="117">
        <f t="shared" si="89"/>
        <v>0</v>
      </c>
      <c r="J254" s="117">
        <f t="shared" si="89"/>
        <v>0</v>
      </c>
      <c r="K254" s="117">
        <f t="shared" si="89"/>
        <v>5061.38</v>
      </c>
      <c r="L254" s="117">
        <f t="shared" si="89"/>
        <v>624.8</v>
      </c>
      <c r="M254" s="117">
        <f t="shared" si="89"/>
        <v>14637.68</v>
      </c>
      <c r="N254" s="117">
        <f t="shared" si="89"/>
        <v>0</v>
      </c>
      <c r="O254" s="117">
        <f t="shared" si="89"/>
        <v>23246.91</v>
      </c>
      <c r="P254" s="117">
        <f t="shared" si="89"/>
        <v>43570.770000000004</v>
      </c>
      <c r="T254" s="130"/>
    </row>
    <row r="255" spans="1:20" ht="12.75">
      <c r="A255" s="118"/>
      <c r="B255" s="119" t="s">
        <v>261</v>
      </c>
      <c r="C255" s="120">
        <v>0</v>
      </c>
      <c r="D255" s="120">
        <v>0</v>
      </c>
      <c r="E255" s="120">
        <v>0</v>
      </c>
      <c r="F255" s="120"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5061.38</v>
      </c>
      <c r="L255" s="120">
        <v>624.8</v>
      </c>
      <c r="M255" s="120">
        <v>14637.68</v>
      </c>
      <c r="N255" s="120">
        <f>23246.91-O255</f>
        <v>0</v>
      </c>
      <c r="O255" s="120">
        <v>23246.91</v>
      </c>
      <c r="P255" s="122">
        <f>SUM(C255:O255)</f>
        <v>43570.770000000004</v>
      </c>
      <c r="T255" s="130"/>
    </row>
    <row r="256" spans="1:20" s="103" customFormat="1" ht="12.75">
      <c r="A256" s="149"/>
      <c r="B256" s="116" t="s">
        <v>141</v>
      </c>
      <c r="C256" s="117">
        <f>SUM(C257)</f>
        <v>0</v>
      </c>
      <c r="D256" s="117">
        <f aca="true" t="shared" si="90" ref="D256:P256">SUM(D257)</f>
        <v>9159.14</v>
      </c>
      <c r="E256" s="117">
        <f t="shared" si="90"/>
        <v>0</v>
      </c>
      <c r="F256" s="117">
        <f t="shared" si="90"/>
        <v>2822.29</v>
      </c>
      <c r="G256" s="117">
        <f t="shared" si="90"/>
        <v>0</v>
      </c>
      <c r="H256" s="117">
        <f t="shared" si="90"/>
        <v>0</v>
      </c>
      <c r="I256" s="117">
        <f t="shared" si="90"/>
        <v>0</v>
      </c>
      <c r="J256" s="117">
        <f t="shared" si="90"/>
        <v>0</v>
      </c>
      <c r="K256" s="117">
        <f t="shared" si="90"/>
        <v>0</v>
      </c>
      <c r="L256" s="117">
        <f t="shared" si="90"/>
        <v>0</v>
      </c>
      <c r="M256" s="117">
        <f t="shared" si="90"/>
        <v>0</v>
      </c>
      <c r="N256" s="117">
        <f t="shared" si="90"/>
        <v>0</v>
      </c>
      <c r="O256" s="117">
        <f t="shared" si="90"/>
        <v>0</v>
      </c>
      <c r="P256" s="117">
        <f t="shared" si="90"/>
        <v>11981.43</v>
      </c>
      <c r="R256" s="20"/>
      <c r="T256" s="20"/>
    </row>
    <row r="257" spans="1:20" ht="12.75">
      <c r="A257" s="118"/>
      <c r="B257" s="119" t="s">
        <v>563</v>
      </c>
      <c r="C257" s="120">
        <v>0</v>
      </c>
      <c r="D257" s="120">
        <v>9159.14</v>
      </c>
      <c r="E257" s="120">
        <v>0</v>
      </c>
      <c r="F257" s="120">
        <v>2822.29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/>
      <c r="P257" s="122">
        <f>SUM(C257:O257)</f>
        <v>11981.43</v>
      </c>
      <c r="T257" s="130"/>
    </row>
    <row r="258" spans="1:20" ht="12.75">
      <c r="A258" s="123" t="s">
        <v>24</v>
      </c>
      <c r="B258" s="116" t="s">
        <v>262</v>
      </c>
      <c r="C258" s="117">
        <f aca="true" t="shared" si="91" ref="C258:P258">SUM(C259)</f>
        <v>0</v>
      </c>
      <c r="D258" s="117">
        <f t="shared" si="91"/>
        <v>0</v>
      </c>
      <c r="E258" s="117">
        <f t="shared" si="91"/>
        <v>0</v>
      </c>
      <c r="F258" s="117">
        <f t="shared" si="91"/>
        <v>0</v>
      </c>
      <c r="G258" s="117">
        <f t="shared" si="91"/>
        <v>0</v>
      </c>
      <c r="H258" s="117">
        <f t="shared" si="91"/>
        <v>0</v>
      </c>
      <c r="I258" s="117">
        <f t="shared" si="91"/>
        <v>0</v>
      </c>
      <c r="J258" s="117">
        <f t="shared" si="91"/>
        <v>0</v>
      </c>
      <c r="K258" s="117">
        <f t="shared" si="91"/>
        <v>0</v>
      </c>
      <c r="L258" s="117">
        <f t="shared" si="91"/>
        <v>0</v>
      </c>
      <c r="M258" s="117">
        <f t="shared" si="91"/>
        <v>0</v>
      </c>
      <c r="N258" s="117">
        <f t="shared" si="91"/>
        <v>0</v>
      </c>
      <c r="O258" s="117">
        <f t="shared" si="91"/>
        <v>0</v>
      </c>
      <c r="P258" s="117">
        <f t="shared" si="91"/>
        <v>0</v>
      </c>
      <c r="T258" s="130"/>
    </row>
    <row r="259" spans="1:20" ht="12.75">
      <c r="A259" s="118"/>
      <c r="B259" s="119" t="s">
        <v>263</v>
      </c>
      <c r="C259" s="120">
        <v>0</v>
      </c>
      <c r="D259" s="120">
        <v>0</v>
      </c>
      <c r="E259" s="120">
        <v>0</v>
      </c>
      <c r="F259" s="120">
        <v>0</v>
      </c>
      <c r="G259" s="120">
        <v>0</v>
      </c>
      <c r="H259" s="120">
        <v>0</v>
      </c>
      <c r="I259" s="120">
        <v>0</v>
      </c>
      <c r="J259" s="120">
        <v>0</v>
      </c>
      <c r="K259" s="120">
        <v>0</v>
      </c>
      <c r="L259" s="120">
        <v>0</v>
      </c>
      <c r="M259" s="120">
        <v>0</v>
      </c>
      <c r="N259" s="120">
        <v>0</v>
      </c>
      <c r="O259" s="120">
        <v>0</v>
      </c>
      <c r="P259" s="122">
        <f>SUM(C259:O259)</f>
        <v>0</v>
      </c>
      <c r="T259" s="130"/>
    </row>
    <row r="260" spans="1:20" ht="13.5" thickBot="1">
      <c r="A260" s="154"/>
      <c r="B260" s="116" t="s">
        <v>260</v>
      </c>
      <c r="C260" s="117">
        <f>C254+C258+C256</f>
        <v>0</v>
      </c>
      <c r="D260" s="117">
        <f aca="true" t="shared" si="92" ref="D260:P260">D254+D258+D256</f>
        <v>9159.14</v>
      </c>
      <c r="E260" s="117">
        <f t="shared" si="92"/>
        <v>0</v>
      </c>
      <c r="F260" s="117">
        <f t="shared" si="92"/>
        <v>2822.29</v>
      </c>
      <c r="G260" s="117">
        <f t="shared" si="92"/>
        <v>0</v>
      </c>
      <c r="H260" s="117">
        <f t="shared" si="92"/>
        <v>0</v>
      </c>
      <c r="I260" s="117">
        <f t="shared" si="92"/>
        <v>0</v>
      </c>
      <c r="J260" s="117">
        <f t="shared" si="92"/>
        <v>0</v>
      </c>
      <c r="K260" s="117">
        <f t="shared" si="92"/>
        <v>5061.38</v>
      </c>
      <c r="L260" s="117">
        <f t="shared" si="92"/>
        <v>624.8</v>
      </c>
      <c r="M260" s="117">
        <f t="shared" si="92"/>
        <v>14637.68</v>
      </c>
      <c r="N260" s="117">
        <f t="shared" si="92"/>
        <v>0</v>
      </c>
      <c r="O260" s="117">
        <f t="shared" si="92"/>
        <v>23246.91</v>
      </c>
      <c r="P260" s="117">
        <f t="shared" si="92"/>
        <v>55552.200000000004</v>
      </c>
      <c r="T260" s="130"/>
    </row>
    <row r="261" spans="1:20" ht="13.5" thickBot="1">
      <c r="A261" s="111"/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40"/>
      <c r="T261" s="130"/>
    </row>
    <row r="262" spans="1:20" ht="12.75">
      <c r="A262" s="157"/>
      <c r="B262" s="116" t="s">
        <v>264</v>
      </c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22"/>
      <c r="T262" s="130"/>
    </row>
    <row r="263" spans="1:20" ht="12.75">
      <c r="A263" s="123"/>
      <c r="B263" s="116" t="s">
        <v>220</v>
      </c>
      <c r="C263" s="117">
        <f aca="true" t="shared" si="93" ref="C263:P263">SUM(C264:C265)</f>
        <v>0</v>
      </c>
      <c r="D263" s="117">
        <f t="shared" si="93"/>
        <v>25890.5</v>
      </c>
      <c r="E263" s="117">
        <f t="shared" si="93"/>
        <v>21325.26</v>
      </c>
      <c r="F263" s="117">
        <f t="shared" si="93"/>
        <v>26439.16</v>
      </c>
      <c r="G263" s="117">
        <f t="shared" si="93"/>
        <v>25622.55</v>
      </c>
      <c r="H263" s="117">
        <f t="shared" si="93"/>
        <v>27487.19</v>
      </c>
      <c r="I263" s="117">
        <f t="shared" si="93"/>
        <v>18458.19</v>
      </c>
      <c r="J263" s="117">
        <f t="shared" si="93"/>
        <v>24906.23</v>
      </c>
      <c r="K263" s="117">
        <f t="shared" si="93"/>
        <v>26864.54</v>
      </c>
      <c r="L263" s="117">
        <f t="shared" si="93"/>
        <v>27033.81</v>
      </c>
      <c r="M263" s="117">
        <f t="shared" si="93"/>
        <v>34188.3</v>
      </c>
      <c r="N263" s="117">
        <f t="shared" si="93"/>
        <v>34734.56</v>
      </c>
      <c r="O263" s="117">
        <f t="shared" si="93"/>
        <v>12000</v>
      </c>
      <c r="P263" s="117">
        <f t="shared" si="93"/>
        <v>304950.29000000004</v>
      </c>
      <c r="T263" s="130"/>
    </row>
    <row r="264" spans="1:20" ht="12.75">
      <c r="A264" s="123"/>
      <c r="B264" s="119" t="s">
        <v>265</v>
      </c>
      <c r="C264" s="120">
        <v>0</v>
      </c>
      <c r="D264" s="120">
        <v>25890.5</v>
      </c>
      <c r="E264" s="120">
        <v>21325.26</v>
      </c>
      <c r="F264" s="120">
        <v>26439.16</v>
      </c>
      <c r="G264" s="120">
        <v>25622.55</v>
      </c>
      <c r="H264" s="120">
        <v>27487.19</v>
      </c>
      <c r="I264" s="120">
        <v>18458.19</v>
      </c>
      <c r="J264" s="120">
        <v>24906.23</v>
      </c>
      <c r="K264" s="120">
        <v>26864.54</v>
      </c>
      <c r="L264" s="120">
        <v>27033.81</v>
      </c>
      <c r="M264" s="120">
        <v>34188.3</v>
      </c>
      <c r="N264" s="120">
        <f>46734.56-O264</f>
        <v>34734.56</v>
      </c>
      <c r="O264" s="120">
        <v>12000</v>
      </c>
      <c r="P264" s="122">
        <f>SUM(C264:O264)</f>
        <v>304950.29000000004</v>
      </c>
      <c r="T264" s="130"/>
    </row>
    <row r="265" spans="1:20" ht="12.75">
      <c r="A265" s="123" t="s">
        <v>25</v>
      </c>
      <c r="B265" s="119" t="s">
        <v>266</v>
      </c>
      <c r="C265" s="120">
        <v>0</v>
      </c>
      <c r="D265" s="120">
        <v>0</v>
      </c>
      <c r="E265" s="120">
        <v>0</v>
      </c>
      <c r="F265" s="120">
        <v>0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0</v>
      </c>
      <c r="O265" s="120">
        <v>0</v>
      </c>
      <c r="P265" s="122">
        <f>SUM(C265:O265)</f>
        <v>0</v>
      </c>
      <c r="T265" s="130"/>
    </row>
    <row r="266" spans="1:20" ht="12.75">
      <c r="A266" s="123"/>
      <c r="B266" s="116" t="s">
        <v>267</v>
      </c>
      <c r="C266" s="117">
        <f aca="true" t="shared" si="94" ref="C266:H266">SUM(C267)</f>
        <v>5939.6</v>
      </c>
      <c r="D266" s="117">
        <f t="shared" si="94"/>
        <v>0</v>
      </c>
      <c r="E266" s="117">
        <f t="shared" si="94"/>
        <v>0</v>
      </c>
      <c r="F266" s="117">
        <f t="shared" si="94"/>
        <v>0</v>
      </c>
      <c r="G266" s="117">
        <f t="shared" si="94"/>
        <v>0</v>
      </c>
      <c r="H266" s="117">
        <f t="shared" si="94"/>
        <v>0</v>
      </c>
      <c r="I266" s="117">
        <v>0</v>
      </c>
      <c r="J266" s="117">
        <f aca="true" t="shared" si="95" ref="J266:P266">SUM(J267)</f>
        <v>0</v>
      </c>
      <c r="K266" s="117">
        <f t="shared" si="95"/>
        <v>0</v>
      </c>
      <c r="L266" s="117">
        <f t="shared" si="95"/>
        <v>0</v>
      </c>
      <c r="M266" s="117">
        <f t="shared" si="95"/>
        <v>0</v>
      </c>
      <c r="N266" s="117">
        <f t="shared" si="95"/>
        <v>0</v>
      </c>
      <c r="O266" s="117">
        <f t="shared" si="95"/>
        <v>0</v>
      </c>
      <c r="P266" s="117">
        <f t="shared" si="95"/>
        <v>5939.6</v>
      </c>
      <c r="T266" s="130"/>
    </row>
    <row r="267" spans="1:20" ht="12.75">
      <c r="A267" s="123"/>
      <c r="B267" s="119" t="s">
        <v>268</v>
      </c>
      <c r="C267" s="133">
        <v>5939.6</v>
      </c>
      <c r="D267" s="133">
        <v>0</v>
      </c>
      <c r="E267" s="133">
        <v>0</v>
      </c>
      <c r="F267" s="133">
        <v>0</v>
      </c>
      <c r="G267" s="133">
        <v>0</v>
      </c>
      <c r="H267" s="133">
        <v>0</v>
      </c>
      <c r="I267" s="133">
        <v>0</v>
      </c>
      <c r="J267" s="133">
        <v>0</v>
      </c>
      <c r="K267" s="133">
        <v>0</v>
      </c>
      <c r="L267" s="133">
        <v>0</v>
      </c>
      <c r="M267" s="133">
        <v>0</v>
      </c>
      <c r="N267" s="133">
        <v>0</v>
      </c>
      <c r="O267" s="133">
        <v>0</v>
      </c>
      <c r="P267" s="122">
        <f>SUM(C267:O267)</f>
        <v>5939.6</v>
      </c>
      <c r="T267" s="130"/>
    </row>
    <row r="268" spans="1:20" ht="13.5" thickBot="1">
      <c r="A268" s="154"/>
      <c r="B268" s="116" t="s">
        <v>269</v>
      </c>
      <c r="C268" s="117">
        <f aca="true" t="shared" si="96" ref="C268:P268">C263+C266</f>
        <v>5939.6</v>
      </c>
      <c r="D268" s="117">
        <f t="shared" si="96"/>
        <v>25890.5</v>
      </c>
      <c r="E268" s="117">
        <f t="shared" si="96"/>
        <v>21325.26</v>
      </c>
      <c r="F268" s="117">
        <f t="shared" si="96"/>
        <v>26439.16</v>
      </c>
      <c r="G268" s="117">
        <f t="shared" si="96"/>
        <v>25622.55</v>
      </c>
      <c r="H268" s="117">
        <f t="shared" si="96"/>
        <v>27487.19</v>
      </c>
      <c r="I268" s="117">
        <f t="shared" si="96"/>
        <v>18458.19</v>
      </c>
      <c r="J268" s="117">
        <f t="shared" si="96"/>
        <v>24906.23</v>
      </c>
      <c r="K268" s="117">
        <f t="shared" si="96"/>
        <v>26864.54</v>
      </c>
      <c r="L268" s="117">
        <f t="shared" si="96"/>
        <v>27033.81</v>
      </c>
      <c r="M268" s="117">
        <f t="shared" si="96"/>
        <v>34188.3</v>
      </c>
      <c r="N268" s="117">
        <f t="shared" si="96"/>
        <v>34734.56</v>
      </c>
      <c r="O268" s="117">
        <f t="shared" si="96"/>
        <v>12000</v>
      </c>
      <c r="P268" s="117">
        <f t="shared" si="96"/>
        <v>310889.89</v>
      </c>
      <c r="T268" s="130"/>
    </row>
    <row r="269" spans="1:20" ht="13.5" thickBot="1">
      <c r="A269" s="111"/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40"/>
      <c r="T269" s="130"/>
    </row>
    <row r="270" spans="1:20" ht="12.75">
      <c r="A270" s="157"/>
      <c r="B270" s="116" t="s">
        <v>270</v>
      </c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22"/>
      <c r="T270" s="130"/>
    </row>
    <row r="271" spans="1:20" ht="12.75">
      <c r="A271" s="123"/>
      <c r="B271" s="116" t="s">
        <v>220</v>
      </c>
      <c r="C271" s="117">
        <f aca="true" t="shared" si="97" ref="C271:P271">SUM(C272)</f>
        <v>0</v>
      </c>
      <c r="D271" s="117">
        <f t="shared" si="97"/>
        <v>1917</v>
      </c>
      <c r="E271" s="117">
        <f t="shared" si="97"/>
        <v>10157.95</v>
      </c>
      <c r="F271" s="117">
        <f t="shared" si="97"/>
        <v>7669.7</v>
      </c>
      <c r="G271" s="117">
        <f t="shared" si="97"/>
        <v>18351.74</v>
      </c>
      <c r="H271" s="117">
        <f t="shared" si="97"/>
        <v>6540.09</v>
      </c>
      <c r="I271" s="117">
        <f t="shared" si="97"/>
        <v>15488.26</v>
      </c>
      <c r="J271" s="117">
        <f t="shared" si="97"/>
        <v>11016.32</v>
      </c>
      <c r="K271" s="117">
        <f t="shared" si="97"/>
        <v>13219.41</v>
      </c>
      <c r="L271" s="117">
        <f t="shared" si="97"/>
        <v>16733.7</v>
      </c>
      <c r="M271" s="117">
        <f t="shared" si="97"/>
        <v>11159.24</v>
      </c>
      <c r="N271" s="117">
        <f t="shared" si="97"/>
        <v>22628.329999999998</v>
      </c>
      <c r="O271" s="117">
        <f t="shared" si="97"/>
        <v>29032.170000000002</v>
      </c>
      <c r="P271" s="117">
        <f t="shared" si="97"/>
        <v>163913.91</v>
      </c>
      <c r="T271" s="130"/>
    </row>
    <row r="272" spans="1:20" ht="12.75">
      <c r="A272" s="123" t="s">
        <v>26</v>
      </c>
      <c r="B272" s="119" t="s">
        <v>271</v>
      </c>
      <c r="C272" s="120">
        <v>0</v>
      </c>
      <c r="D272" s="120">
        <v>1917</v>
      </c>
      <c r="E272" s="120">
        <v>10157.95</v>
      </c>
      <c r="F272" s="120">
        <v>7669.7</v>
      </c>
      <c r="G272" s="120">
        <v>18351.74</v>
      </c>
      <c r="H272" s="120">
        <v>6540.09</v>
      </c>
      <c r="I272" s="120">
        <v>15488.26</v>
      </c>
      <c r="J272" s="120">
        <v>11016.32</v>
      </c>
      <c r="K272" s="120">
        <v>13219.41</v>
      </c>
      <c r="L272" s="120">
        <v>16733.7</v>
      </c>
      <c r="M272" s="120">
        <v>11159.24</v>
      </c>
      <c r="N272" s="120">
        <f>51660.5-O272</f>
        <v>22628.329999999998</v>
      </c>
      <c r="O272" s="120">
        <f>1846.04+27186.13</f>
        <v>29032.170000000002</v>
      </c>
      <c r="P272" s="122">
        <f>SUM(C272:O272)</f>
        <v>163913.91</v>
      </c>
      <c r="T272" s="130"/>
    </row>
    <row r="273" spans="1:20" s="125" customFormat="1" ht="12.75">
      <c r="A273" s="123"/>
      <c r="B273" s="116" t="s">
        <v>171</v>
      </c>
      <c r="C273" s="117">
        <f>SUM(C274)</f>
        <v>0</v>
      </c>
      <c r="D273" s="117">
        <f aca="true" t="shared" si="98" ref="D273:P273">SUM(D274)</f>
        <v>662.02</v>
      </c>
      <c r="E273" s="117">
        <f t="shared" si="98"/>
        <v>9747.13</v>
      </c>
      <c r="F273" s="117">
        <f t="shared" si="98"/>
        <v>0</v>
      </c>
      <c r="G273" s="117">
        <f t="shared" si="98"/>
        <v>0</v>
      </c>
      <c r="H273" s="117">
        <f t="shared" si="98"/>
        <v>0</v>
      </c>
      <c r="I273" s="117">
        <f t="shared" si="98"/>
        <v>0</v>
      </c>
      <c r="J273" s="117">
        <f t="shared" si="98"/>
        <v>0</v>
      </c>
      <c r="K273" s="117">
        <f t="shared" si="98"/>
        <v>4952</v>
      </c>
      <c r="L273" s="117">
        <f t="shared" si="98"/>
        <v>0</v>
      </c>
      <c r="M273" s="117">
        <f t="shared" si="98"/>
        <v>0</v>
      </c>
      <c r="N273" s="117">
        <f t="shared" si="98"/>
        <v>12805.91</v>
      </c>
      <c r="O273" s="117">
        <f t="shared" si="98"/>
        <v>0</v>
      </c>
      <c r="P273" s="117">
        <f t="shared" si="98"/>
        <v>28167.059999999998</v>
      </c>
      <c r="R273" s="152"/>
      <c r="T273" s="152"/>
    </row>
    <row r="274" spans="1:20" ht="12.75">
      <c r="A274" s="123"/>
      <c r="B274" s="119" t="s">
        <v>527</v>
      </c>
      <c r="C274" s="120">
        <v>0</v>
      </c>
      <c r="D274" s="120">
        <v>662.02</v>
      </c>
      <c r="E274" s="120">
        <v>9747.13</v>
      </c>
      <c r="F274" s="120"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4952</v>
      </c>
      <c r="L274" s="120">
        <v>0</v>
      </c>
      <c r="M274" s="120">
        <v>0</v>
      </c>
      <c r="N274" s="120">
        <v>12805.91</v>
      </c>
      <c r="O274" s="120">
        <v>0</v>
      </c>
      <c r="P274" s="122">
        <f>SUM(C274:O274)</f>
        <v>28167.059999999998</v>
      </c>
      <c r="T274" s="130"/>
    </row>
    <row r="275" spans="1:20" ht="12.75">
      <c r="A275" s="123"/>
      <c r="B275" s="116" t="s">
        <v>272</v>
      </c>
      <c r="C275" s="117">
        <f aca="true" t="shared" si="99" ref="C275:P275">SUM(C276)</f>
        <v>1708.15</v>
      </c>
      <c r="D275" s="117">
        <f t="shared" si="99"/>
        <v>92.6</v>
      </c>
      <c r="E275" s="117">
        <f t="shared" si="99"/>
        <v>202.5</v>
      </c>
      <c r="F275" s="117">
        <f t="shared" si="99"/>
        <v>0</v>
      </c>
      <c r="G275" s="117">
        <f t="shared" si="99"/>
        <v>0</v>
      </c>
      <c r="H275" s="117">
        <f t="shared" si="99"/>
        <v>0</v>
      </c>
      <c r="I275" s="117">
        <f t="shared" si="99"/>
        <v>0</v>
      </c>
      <c r="J275" s="117">
        <f t="shared" si="99"/>
        <v>0</v>
      </c>
      <c r="K275" s="117">
        <f t="shared" si="99"/>
        <v>0</v>
      </c>
      <c r="L275" s="117">
        <f t="shared" si="99"/>
        <v>0</v>
      </c>
      <c r="M275" s="117">
        <f t="shared" si="99"/>
        <v>0</v>
      </c>
      <c r="N275" s="117">
        <f t="shared" si="99"/>
        <v>0</v>
      </c>
      <c r="O275" s="117">
        <f t="shared" si="99"/>
        <v>0</v>
      </c>
      <c r="P275" s="117">
        <f t="shared" si="99"/>
        <v>2003.25</v>
      </c>
      <c r="T275" s="130"/>
    </row>
    <row r="276" spans="1:20" ht="12.75">
      <c r="A276" s="123"/>
      <c r="B276" s="119" t="s">
        <v>273</v>
      </c>
      <c r="C276" s="133">
        <v>1708.15</v>
      </c>
      <c r="D276" s="133">
        <v>92.6</v>
      </c>
      <c r="E276" s="133">
        <v>202.5</v>
      </c>
      <c r="F276" s="133">
        <v>0</v>
      </c>
      <c r="G276" s="133">
        <v>0</v>
      </c>
      <c r="H276" s="133">
        <v>0</v>
      </c>
      <c r="I276" s="133">
        <v>0</v>
      </c>
      <c r="J276" s="133">
        <v>0</v>
      </c>
      <c r="K276" s="133">
        <v>0</v>
      </c>
      <c r="L276" s="133">
        <v>0</v>
      </c>
      <c r="M276" s="133">
        <v>0</v>
      </c>
      <c r="N276" s="133">
        <v>0</v>
      </c>
      <c r="O276" s="133">
        <v>0</v>
      </c>
      <c r="P276" s="122">
        <f>SUM(C276:O276)</f>
        <v>2003.25</v>
      </c>
      <c r="T276" s="130"/>
    </row>
    <row r="277" spans="1:20" ht="13.5" thickBot="1">
      <c r="A277" s="154"/>
      <c r="B277" s="116" t="s">
        <v>274</v>
      </c>
      <c r="C277" s="117">
        <f>C271+C275+C273</f>
        <v>1708.15</v>
      </c>
      <c r="D277" s="117">
        <f>D271+D275+D273</f>
        <v>2671.62</v>
      </c>
      <c r="E277" s="117">
        <f aca="true" t="shared" si="100" ref="E277:P277">E271+E275+E273</f>
        <v>20107.58</v>
      </c>
      <c r="F277" s="117">
        <f t="shared" si="100"/>
        <v>7669.7</v>
      </c>
      <c r="G277" s="117">
        <f t="shared" si="100"/>
        <v>18351.74</v>
      </c>
      <c r="H277" s="117">
        <f t="shared" si="100"/>
        <v>6540.09</v>
      </c>
      <c r="I277" s="117">
        <f t="shared" si="100"/>
        <v>15488.26</v>
      </c>
      <c r="J277" s="117">
        <f t="shared" si="100"/>
        <v>11016.32</v>
      </c>
      <c r="K277" s="117">
        <f t="shared" si="100"/>
        <v>18171.41</v>
      </c>
      <c r="L277" s="117">
        <f t="shared" si="100"/>
        <v>16733.7</v>
      </c>
      <c r="M277" s="117">
        <f t="shared" si="100"/>
        <v>11159.24</v>
      </c>
      <c r="N277" s="117">
        <f t="shared" si="100"/>
        <v>35434.24</v>
      </c>
      <c r="O277" s="117">
        <f t="shared" si="100"/>
        <v>29032.170000000002</v>
      </c>
      <c r="P277" s="117">
        <f t="shared" si="100"/>
        <v>194084.22</v>
      </c>
      <c r="T277" s="130"/>
    </row>
    <row r="278" spans="1:20" ht="13.5" thickBot="1">
      <c r="A278" s="111"/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40"/>
      <c r="T278" s="130"/>
    </row>
    <row r="279" spans="1:20" ht="13.5" thickBot="1">
      <c r="A279" s="160" t="s">
        <v>27</v>
      </c>
      <c r="B279" s="116" t="s">
        <v>275</v>
      </c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22"/>
      <c r="T279" s="130"/>
    </row>
    <row r="280" spans="1:20" ht="12.75">
      <c r="A280" s="161"/>
      <c r="B280" s="162" t="s">
        <v>220</v>
      </c>
      <c r="C280" s="117">
        <f>SUM(C281:C310)</f>
        <v>89134.64</v>
      </c>
      <c r="D280" s="117">
        <f aca="true" t="shared" si="101" ref="D280:P280">SUM(D281:D310)</f>
        <v>12459.7</v>
      </c>
      <c r="E280" s="117">
        <f t="shared" si="101"/>
        <v>42822.520000000004</v>
      </c>
      <c r="F280" s="117">
        <f t="shared" si="101"/>
        <v>96553.65999999999</v>
      </c>
      <c r="G280" s="117">
        <f t="shared" si="101"/>
        <v>71222.04999999999</v>
      </c>
      <c r="H280" s="117">
        <f t="shared" si="101"/>
        <v>145502.07000000004</v>
      </c>
      <c r="I280" s="117">
        <f t="shared" si="101"/>
        <v>111944.65999999999</v>
      </c>
      <c r="J280" s="117">
        <f t="shared" si="101"/>
        <v>35799.67</v>
      </c>
      <c r="K280" s="117">
        <f t="shared" si="101"/>
        <v>59549.270000000004</v>
      </c>
      <c r="L280" s="117">
        <f t="shared" si="101"/>
        <v>64018.40000000001</v>
      </c>
      <c r="M280" s="117">
        <f t="shared" si="101"/>
        <v>60899.759999999995</v>
      </c>
      <c r="N280" s="117">
        <f t="shared" si="101"/>
        <v>24365.62999999999</v>
      </c>
      <c r="O280" s="117">
        <f t="shared" si="101"/>
        <v>159081.45</v>
      </c>
      <c r="P280" s="117">
        <f t="shared" si="101"/>
        <v>973353.48</v>
      </c>
      <c r="T280" s="130"/>
    </row>
    <row r="281" spans="1:20" s="103" customFormat="1" ht="12" customHeight="1">
      <c r="A281" s="221" t="s">
        <v>276</v>
      </c>
      <c r="B281" s="124" t="s">
        <v>277</v>
      </c>
      <c r="C281" s="133">
        <v>0</v>
      </c>
      <c r="D281" s="133">
        <v>0</v>
      </c>
      <c r="E281" s="133">
        <v>0</v>
      </c>
      <c r="F281" s="133">
        <v>0</v>
      </c>
      <c r="G281" s="133">
        <v>0</v>
      </c>
      <c r="H281" s="133">
        <v>0</v>
      </c>
      <c r="I281" s="133">
        <v>0</v>
      </c>
      <c r="J281" s="133">
        <v>0</v>
      </c>
      <c r="K281" s="133">
        <v>0</v>
      </c>
      <c r="L281" s="133">
        <v>0</v>
      </c>
      <c r="M281" s="133">
        <v>0</v>
      </c>
      <c r="N281" s="133">
        <v>0</v>
      </c>
      <c r="O281" s="133"/>
      <c r="P281" s="163">
        <f aca="true" t="shared" si="102" ref="P281:P310">SUM(C281:O281)</f>
        <v>0</v>
      </c>
      <c r="R281" s="20"/>
      <c r="T281" s="20"/>
    </row>
    <row r="282" spans="1:20" ht="12.75">
      <c r="A282" s="164" t="s">
        <v>278</v>
      </c>
      <c r="B282" s="119" t="s">
        <v>279</v>
      </c>
      <c r="C282" s="133">
        <v>0</v>
      </c>
      <c r="D282" s="133">
        <v>0</v>
      </c>
      <c r="E282" s="133">
        <v>79</v>
      </c>
      <c r="F282" s="133">
        <v>39.5</v>
      </c>
      <c r="G282" s="133">
        <v>1566</v>
      </c>
      <c r="H282" s="133">
        <v>174</v>
      </c>
      <c r="I282" s="133">
        <v>1349</v>
      </c>
      <c r="J282" s="133">
        <v>312</v>
      </c>
      <c r="K282" s="133">
        <v>260.5</v>
      </c>
      <c r="L282" s="133">
        <v>1019</v>
      </c>
      <c r="M282" s="133">
        <v>597</v>
      </c>
      <c r="N282" s="133">
        <v>405</v>
      </c>
      <c r="O282" s="133"/>
      <c r="P282" s="122">
        <f t="shared" si="102"/>
        <v>5801</v>
      </c>
      <c r="T282" s="130"/>
    </row>
    <row r="283" spans="1:20" ht="12.75">
      <c r="A283" s="164" t="s">
        <v>280</v>
      </c>
      <c r="B283" s="119" t="s">
        <v>281</v>
      </c>
      <c r="C283" s="133">
        <v>0</v>
      </c>
      <c r="D283" s="133">
        <v>0</v>
      </c>
      <c r="E283" s="133">
        <v>0</v>
      </c>
      <c r="F283" s="133">
        <v>0</v>
      </c>
      <c r="G283" s="133">
        <v>0</v>
      </c>
      <c r="H283" s="133">
        <v>0</v>
      </c>
      <c r="I283" s="133">
        <v>0</v>
      </c>
      <c r="J283" s="133">
        <v>0</v>
      </c>
      <c r="K283" s="133">
        <v>0</v>
      </c>
      <c r="L283" s="133">
        <v>0</v>
      </c>
      <c r="M283" s="133">
        <v>0</v>
      </c>
      <c r="N283" s="133">
        <v>0</v>
      </c>
      <c r="O283" s="133"/>
      <c r="P283" s="122">
        <f t="shared" si="102"/>
        <v>0</v>
      </c>
      <c r="T283" s="130"/>
    </row>
    <row r="284" spans="1:20" ht="12.75">
      <c r="A284" s="164" t="s">
        <v>282</v>
      </c>
      <c r="B284" s="119" t="s">
        <v>283</v>
      </c>
      <c r="C284" s="133">
        <v>0</v>
      </c>
      <c r="D284" s="133">
        <v>0</v>
      </c>
      <c r="E284" s="133">
        <v>0</v>
      </c>
      <c r="F284" s="133">
        <v>0</v>
      </c>
      <c r="G284" s="133">
        <v>1842.93</v>
      </c>
      <c r="H284" s="133">
        <v>59500</v>
      </c>
      <c r="I284" s="133">
        <v>543.6</v>
      </c>
      <c r="J284" s="133">
        <v>894.05</v>
      </c>
      <c r="K284" s="133">
        <v>0</v>
      </c>
      <c r="L284" s="133">
        <v>2576.72</v>
      </c>
      <c r="M284" s="133">
        <v>0</v>
      </c>
      <c r="N284" s="133">
        <f>4217.1-O284</f>
        <v>0</v>
      </c>
      <c r="O284" s="133">
        <v>4217.1</v>
      </c>
      <c r="P284" s="122">
        <f t="shared" si="102"/>
        <v>69574.40000000001</v>
      </c>
      <c r="T284" s="130"/>
    </row>
    <row r="285" spans="1:20" ht="12.75">
      <c r="A285" s="164" t="s">
        <v>284</v>
      </c>
      <c r="B285" s="119" t="s">
        <v>285</v>
      </c>
      <c r="C285" s="133">
        <v>0</v>
      </c>
      <c r="D285" s="133">
        <v>0</v>
      </c>
      <c r="E285" s="133">
        <v>0</v>
      </c>
      <c r="F285" s="133">
        <v>532.13</v>
      </c>
      <c r="G285" s="133">
        <v>0</v>
      </c>
      <c r="H285" s="133">
        <v>0</v>
      </c>
      <c r="I285" s="133">
        <v>0</v>
      </c>
      <c r="J285" s="133">
        <v>3279.19</v>
      </c>
      <c r="K285" s="133">
        <v>0</v>
      </c>
      <c r="L285" s="133">
        <v>647.36</v>
      </c>
      <c r="M285" s="133">
        <v>660</v>
      </c>
      <c r="N285" s="133">
        <v>0</v>
      </c>
      <c r="O285" s="133"/>
      <c r="P285" s="122">
        <f t="shared" si="102"/>
        <v>5118.68</v>
      </c>
      <c r="T285" s="130"/>
    </row>
    <row r="286" spans="1:20" ht="12.75">
      <c r="A286" s="164" t="s">
        <v>286</v>
      </c>
      <c r="B286" s="119" t="s">
        <v>287</v>
      </c>
      <c r="C286" s="133">
        <v>0</v>
      </c>
      <c r="D286" s="133">
        <v>0</v>
      </c>
      <c r="E286" s="133">
        <v>0</v>
      </c>
      <c r="F286" s="133">
        <v>0</v>
      </c>
      <c r="G286" s="133">
        <v>0</v>
      </c>
      <c r="H286" s="133">
        <v>0</v>
      </c>
      <c r="I286" s="133">
        <v>0</v>
      </c>
      <c r="J286" s="133">
        <v>0</v>
      </c>
      <c r="K286" s="133">
        <v>0</v>
      </c>
      <c r="L286" s="133">
        <v>0</v>
      </c>
      <c r="M286" s="133">
        <v>0</v>
      </c>
      <c r="N286" s="133">
        <v>0</v>
      </c>
      <c r="O286" s="133"/>
      <c r="P286" s="122">
        <f t="shared" si="102"/>
        <v>0</v>
      </c>
      <c r="T286" s="130"/>
    </row>
    <row r="287" spans="1:20" ht="12.75">
      <c r="A287" s="164" t="s">
        <v>572</v>
      </c>
      <c r="B287" s="119" t="s">
        <v>571</v>
      </c>
      <c r="C287" s="133"/>
      <c r="D287" s="133"/>
      <c r="E287" s="133"/>
      <c r="F287" s="133"/>
      <c r="G287" s="133"/>
      <c r="H287" s="133"/>
      <c r="I287" s="133">
        <v>0</v>
      </c>
      <c r="J287" s="133">
        <v>1850</v>
      </c>
      <c r="K287" s="133">
        <v>0</v>
      </c>
      <c r="L287" s="133">
        <v>773.46</v>
      </c>
      <c r="M287" s="133">
        <v>0</v>
      </c>
      <c r="N287" s="133">
        <v>1394.1</v>
      </c>
      <c r="O287" s="133"/>
      <c r="P287" s="122">
        <f t="shared" si="102"/>
        <v>4017.56</v>
      </c>
      <c r="T287" s="130"/>
    </row>
    <row r="288" spans="1:20" ht="12.75">
      <c r="A288" s="164" t="s">
        <v>288</v>
      </c>
      <c r="B288" s="119" t="s">
        <v>289</v>
      </c>
      <c r="C288" s="133">
        <v>0</v>
      </c>
      <c r="D288" s="133">
        <v>800</v>
      </c>
      <c r="E288" s="133">
        <v>0</v>
      </c>
      <c r="F288" s="133">
        <v>0</v>
      </c>
      <c r="G288" s="133">
        <v>650</v>
      </c>
      <c r="H288" s="133">
        <v>400</v>
      </c>
      <c r="I288" s="133">
        <v>0</v>
      </c>
      <c r="J288" s="133">
        <v>0</v>
      </c>
      <c r="K288" s="133">
        <v>0</v>
      </c>
      <c r="L288" s="133">
        <v>370</v>
      </c>
      <c r="M288" s="133">
        <v>679</v>
      </c>
      <c r="N288" s="133">
        <v>1290</v>
      </c>
      <c r="O288" s="133"/>
      <c r="P288" s="122">
        <f t="shared" si="102"/>
        <v>4189</v>
      </c>
      <c r="T288" s="130"/>
    </row>
    <row r="289" spans="1:20" ht="12.75">
      <c r="A289" s="164" t="s">
        <v>290</v>
      </c>
      <c r="B289" s="119" t="s">
        <v>291</v>
      </c>
      <c r="C289" s="133">
        <v>0</v>
      </c>
      <c r="D289" s="133">
        <v>0</v>
      </c>
      <c r="E289" s="133">
        <v>0</v>
      </c>
      <c r="F289" s="133">
        <v>461.15</v>
      </c>
      <c r="G289" s="133">
        <v>5176.45</v>
      </c>
      <c r="H289" s="133">
        <v>0</v>
      </c>
      <c r="I289" s="133">
        <v>9203.9</v>
      </c>
      <c r="J289" s="133">
        <v>301.24</v>
      </c>
      <c r="K289" s="133">
        <v>1296.04</v>
      </c>
      <c r="L289" s="133">
        <v>662.2</v>
      </c>
      <c r="M289" s="133">
        <v>4334</v>
      </c>
      <c r="N289" s="133">
        <f>1134.25-O289</f>
        <v>414.25</v>
      </c>
      <c r="O289" s="133">
        <v>720</v>
      </c>
      <c r="P289" s="122">
        <f t="shared" si="102"/>
        <v>22569.23</v>
      </c>
      <c r="T289" s="130"/>
    </row>
    <row r="290" spans="1:20" ht="12.75">
      <c r="A290" s="164" t="s">
        <v>292</v>
      </c>
      <c r="B290" s="119" t="s">
        <v>293</v>
      </c>
      <c r="C290" s="133">
        <v>0</v>
      </c>
      <c r="D290" s="133">
        <v>0</v>
      </c>
      <c r="E290" s="133">
        <v>0</v>
      </c>
      <c r="F290" s="133">
        <v>0</v>
      </c>
      <c r="G290" s="133">
        <v>0</v>
      </c>
      <c r="H290" s="133">
        <v>0</v>
      </c>
      <c r="I290" s="133">
        <v>93.88</v>
      </c>
      <c r="J290" s="133">
        <v>0</v>
      </c>
      <c r="K290" s="133">
        <v>0</v>
      </c>
      <c r="L290" s="133">
        <v>218</v>
      </c>
      <c r="M290" s="133">
        <v>0</v>
      </c>
      <c r="N290" s="133">
        <v>0</v>
      </c>
      <c r="O290" s="133"/>
      <c r="P290" s="122">
        <f t="shared" si="102"/>
        <v>311.88</v>
      </c>
      <c r="T290" s="130"/>
    </row>
    <row r="291" spans="1:20" ht="12.75">
      <c r="A291" s="164" t="s">
        <v>294</v>
      </c>
      <c r="B291" s="119" t="s">
        <v>295</v>
      </c>
      <c r="C291" s="133">
        <v>0</v>
      </c>
      <c r="D291" s="133">
        <v>0</v>
      </c>
      <c r="E291" s="133">
        <v>353.33</v>
      </c>
      <c r="F291" s="133">
        <v>854.1</v>
      </c>
      <c r="G291" s="133">
        <v>1641.86</v>
      </c>
      <c r="H291" s="133">
        <v>6299.56</v>
      </c>
      <c r="I291" s="133">
        <v>-4516.56</v>
      </c>
      <c r="J291" s="133">
        <v>4519.24</v>
      </c>
      <c r="K291" s="133">
        <v>1240.6</v>
      </c>
      <c r="L291" s="133">
        <v>1158.64</v>
      </c>
      <c r="M291" s="133">
        <v>3204.25</v>
      </c>
      <c r="N291" s="133">
        <f>48417.95-O291</f>
        <v>4844.949999999997</v>
      </c>
      <c r="O291" s="133">
        <f>42600+973</f>
        <v>43573</v>
      </c>
      <c r="P291" s="122">
        <f t="shared" si="102"/>
        <v>63172.969999999994</v>
      </c>
      <c r="T291" s="130"/>
    </row>
    <row r="292" spans="1:20" ht="12.75">
      <c r="A292" s="164" t="s">
        <v>297</v>
      </c>
      <c r="B292" s="119" t="s">
        <v>298</v>
      </c>
      <c r="C292" s="133">
        <v>0</v>
      </c>
      <c r="D292" s="133">
        <v>300</v>
      </c>
      <c r="E292" s="133">
        <v>0</v>
      </c>
      <c r="F292" s="133">
        <v>237</v>
      </c>
      <c r="G292" s="133">
        <v>27566.21</v>
      </c>
      <c r="H292" s="133">
        <v>38219.91</v>
      </c>
      <c r="I292" s="133">
        <v>4089.64</v>
      </c>
      <c r="J292" s="133">
        <v>0</v>
      </c>
      <c r="K292" s="133">
        <v>0</v>
      </c>
      <c r="L292" s="133">
        <v>58.92</v>
      </c>
      <c r="M292" s="133">
        <v>9009.74</v>
      </c>
      <c r="N292" s="133">
        <f>14047.62-O292</f>
        <v>9100.52</v>
      </c>
      <c r="O292" s="133">
        <v>4947.1</v>
      </c>
      <c r="P292" s="122">
        <f t="shared" si="102"/>
        <v>93529.04000000001</v>
      </c>
      <c r="T292" s="130"/>
    </row>
    <row r="293" spans="1:20" ht="12.75">
      <c r="A293" s="164" t="s">
        <v>299</v>
      </c>
      <c r="B293" s="119" t="s">
        <v>300</v>
      </c>
      <c r="C293" s="133">
        <v>0</v>
      </c>
      <c r="D293" s="133">
        <v>0</v>
      </c>
      <c r="E293" s="133">
        <v>28374.3</v>
      </c>
      <c r="F293" s="133">
        <v>62463.57</v>
      </c>
      <c r="G293" s="133">
        <v>16897.73</v>
      </c>
      <c r="H293" s="133">
        <v>14986.8</v>
      </c>
      <c r="I293" s="133">
        <v>75121.82</v>
      </c>
      <c r="J293" s="133">
        <v>5640.49</v>
      </c>
      <c r="K293" s="133">
        <v>33502.53</v>
      </c>
      <c r="L293" s="133">
        <v>40213.11</v>
      </c>
      <c r="M293" s="133">
        <v>7248.55</v>
      </c>
      <c r="N293" s="133">
        <f>64835.77-O293</f>
        <v>23891.389999999992</v>
      </c>
      <c r="O293" s="133">
        <f>29530.88+11413.5</f>
        <v>40944.380000000005</v>
      </c>
      <c r="P293" s="122">
        <f t="shared" si="102"/>
        <v>349284.67</v>
      </c>
      <c r="T293" s="130"/>
    </row>
    <row r="294" spans="1:20" ht="12.75">
      <c r="A294" s="164" t="s">
        <v>301</v>
      </c>
      <c r="B294" s="119" t="s">
        <v>302</v>
      </c>
      <c r="C294" s="133">
        <v>0</v>
      </c>
      <c r="D294" s="133">
        <v>0</v>
      </c>
      <c r="E294" s="133">
        <v>732</v>
      </c>
      <c r="F294" s="133">
        <v>1039.5</v>
      </c>
      <c r="G294" s="133">
        <v>8379.73</v>
      </c>
      <c r="H294" s="133">
        <v>1130</v>
      </c>
      <c r="I294" s="133">
        <v>2306.26</v>
      </c>
      <c r="J294" s="133">
        <v>1389.08</v>
      </c>
      <c r="K294" s="133">
        <v>2400.5</v>
      </c>
      <c r="L294" s="133">
        <v>1197.01</v>
      </c>
      <c r="M294" s="133">
        <v>832.3</v>
      </c>
      <c r="N294" s="133">
        <f>17372.62-O294</f>
        <v>7146.619999999999</v>
      </c>
      <c r="O294" s="133">
        <f>4626+5600</f>
        <v>10226</v>
      </c>
      <c r="P294" s="122">
        <f t="shared" si="102"/>
        <v>36779</v>
      </c>
      <c r="T294" s="130"/>
    </row>
    <row r="295" spans="1:20" ht="12.75">
      <c r="A295" s="164" t="s">
        <v>303</v>
      </c>
      <c r="B295" s="119" t="s">
        <v>304</v>
      </c>
      <c r="C295" s="133">
        <v>0</v>
      </c>
      <c r="D295" s="133">
        <v>0</v>
      </c>
      <c r="E295" s="133">
        <v>2680.84</v>
      </c>
      <c r="F295" s="133">
        <v>2045.9</v>
      </c>
      <c r="G295" s="133">
        <v>8958.67</v>
      </c>
      <c r="H295" s="133">
        <v>1759.71</v>
      </c>
      <c r="I295" s="133">
        <v>8953.99</v>
      </c>
      <c r="J295" s="133">
        <v>3779.51</v>
      </c>
      <c r="K295" s="133">
        <v>4410.15</v>
      </c>
      <c r="L295" s="133">
        <v>5164.09</v>
      </c>
      <c r="M295" s="133">
        <v>5095.23</v>
      </c>
      <c r="N295" s="133">
        <f>30923.42-O295</f>
        <v>26140.699999999997</v>
      </c>
      <c r="O295" s="133">
        <f>49.52+4733.2</f>
        <v>4782.72</v>
      </c>
      <c r="P295" s="122">
        <f t="shared" si="102"/>
        <v>73771.51</v>
      </c>
      <c r="T295" s="130"/>
    </row>
    <row r="296" spans="1:20" ht="12.75">
      <c r="A296" s="164" t="s">
        <v>305</v>
      </c>
      <c r="B296" s="119" t="s">
        <v>306</v>
      </c>
      <c r="C296" s="133">
        <v>0</v>
      </c>
      <c r="D296" s="133">
        <v>280.5</v>
      </c>
      <c r="E296" s="133">
        <v>0</v>
      </c>
      <c r="F296" s="133">
        <v>403.8</v>
      </c>
      <c r="G296" s="133">
        <v>952.49</v>
      </c>
      <c r="H296" s="133">
        <v>612.45</v>
      </c>
      <c r="I296" s="133">
        <v>2717.1</v>
      </c>
      <c r="J296" s="133">
        <v>1490.8</v>
      </c>
      <c r="K296" s="133">
        <v>2238.4</v>
      </c>
      <c r="L296" s="133">
        <v>712.38</v>
      </c>
      <c r="M296" s="133">
        <v>3569.4</v>
      </c>
      <c r="N296" s="133">
        <f>6985.4-O296</f>
        <v>6385.4</v>
      </c>
      <c r="O296" s="133">
        <v>600</v>
      </c>
      <c r="P296" s="122">
        <f t="shared" si="102"/>
        <v>19962.72</v>
      </c>
      <c r="T296" s="130"/>
    </row>
    <row r="297" spans="1:20" ht="12.75">
      <c r="A297" s="164" t="s">
        <v>307</v>
      </c>
      <c r="B297" s="119" t="s">
        <v>308</v>
      </c>
      <c r="C297" s="133">
        <v>0</v>
      </c>
      <c r="D297" s="133">
        <v>0</v>
      </c>
      <c r="E297" s="133">
        <v>800</v>
      </c>
      <c r="F297" s="133">
        <v>0</v>
      </c>
      <c r="G297" s="133">
        <v>366</v>
      </c>
      <c r="H297" s="133">
        <v>0</v>
      </c>
      <c r="I297" s="133">
        <v>0</v>
      </c>
      <c r="J297" s="133">
        <v>654.9</v>
      </c>
      <c r="K297" s="133">
        <v>67</v>
      </c>
      <c r="L297" s="133">
        <v>200</v>
      </c>
      <c r="M297" s="133">
        <v>79.8</v>
      </c>
      <c r="N297" s="133">
        <v>519.22</v>
      </c>
      <c r="O297" s="133"/>
      <c r="P297" s="122">
        <f t="shared" si="102"/>
        <v>2686.92</v>
      </c>
      <c r="T297" s="130"/>
    </row>
    <row r="298" spans="1:20" ht="12.75">
      <c r="A298" s="164" t="s">
        <v>309</v>
      </c>
      <c r="B298" s="119" t="s">
        <v>310</v>
      </c>
      <c r="C298" s="133">
        <v>0</v>
      </c>
      <c r="D298" s="133">
        <v>0</v>
      </c>
      <c r="E298" s="133">
        <v>0</v>
      </c>
      <c r="F298" s="133">
        <v>0</v>
      </c>
      <c r="G298" s="133">
        <v>0</v>
      </c>
      <c r="H298" s="133">
        <v>0</v>
      </c>
      <c r="I298" s="133">
        <v>0</v>
      </c>
      <c r="J298" s="133">
        <v>0</v>
      </c>
      <c r="K298" s="133">
        <v>0</v>
      </c>
      <c r="L298" s="133">
        <v>0</v>
      </c>
      <c r="M298" s="133">
        <v>0</v>
      </c>
      <c r="N298" s="133">
        <v>0</v>
      </c>
      <c r="O298" s="133"/>
      <c r="P298" s="122">
        <f t="shared" si="102"/>
        <v>0</v>
      </c>
      <c r="T298" s="130"/>
    </row>
    <row r="299" spans="1:20" ht="12.75">
      <c r="A299" s="164" t="s">
        <v>311</v>
      </c>
      <c r="B299" s="119" t="s">
        <v>312</v>
      </c>
      <c r="C299" s="133">
        <v>134.64</v>
      </c>
      <c r="D299" s="133">
        <v>320</v>
      </c>
      <c r="E299" s="133">
        <v>247</v>
      </c>
      <c r="F299" s="133">
        <v>961.6</v>
      </c>
      <c r="G299" s="133">
        <v>2072.69</v>
      </c>
      <c r="H299" s="133">
        <v>41.82</v>
      </c>
      <c r="I299" s="133">
        <v>2617.4</v>
      </c>
      <c r="J299" s="133">
        <v>1169.5</v>
      </c>
      <c r="K299" s="133">
        <v>1182.16</v>
      </c>
      <c r="L299" s="133">
        <v>677.8</v>
      </c>
      <c r="M299" s="133">
        <v>737</v>
      </c>
      <c r="N299" s="133">
        <v>710.5</v>
      </c>
      <c r="O299" s="133"/>
      <c r="P299" s="122">
        <f t="shared" si="102"/>
        <v>10872.11</v>
      </c>
      <c r="T299" s="130"/>
    </row>
    <row r="300" spans="1:20" ht="12.75">
      <c r="A300" s="164" t="s">
        <v>313</v>
      </c>
      <c r="B300" s="119" t="s">
        <v>314</v>
      </c>
      <c r="C300" s="133">
        <v>0</v>
      </c>
      <c r="D300" s="133">
        <v>0</v>
      </c>
      <c r="E300" s="133">
        <v>0</v>
      </c>
      <c r="F300" s="133">
        <v>0</v>
      </c>
      <c r="G300" s="133">
        <v>1200</v>
      </c>
      <c r="H300" s="133">
        <v>0</v>
      </c>
      <c r="I300" s="133">
        <v>0</v>
      </c>
      <c r="J300" s="133">
        <v>0</v>
      </c>
      <c r="K300" s="133">
        <v>0</v>
      </c>
      <c r="L300" s="133">
        <v>0</v>
      </c>
      <c r="M300" s="133">
        <v>0</v>
      </c>
      <c r="N300" s="133">
        <v>0</v>
      </c>
      <c r="O300" s="133"/>
      <c r="P300" s="122">
        <f t="shared" si="102"/>
        <v>1200</v>
      </c>
      <c r="T300" s="130"/>
    </row>
    <row r="301" spans="1:20" ht="12.75">
      <c r="A301" s="164" t="s">
        <v>315</v>
      </c>
      <c r="B301" s="119" t="s">
        <v>316</v>
      </c>
      <c r="C301" s="133">
        <v>0</v>
      </c>
      <c r="D301" s="133">
        <v>0</v>
      </c>
      <c r="E301" s="133">
        <v>979.4</v>
      </c>
      <c r="F301" s="133">
        <v>228.4</v>
      </c>
      <c r="G301" s="133">
        <v>1453</v>
      </c>
      <c r="H301" s="133">
        <v>0</v>
      </c>
      <c r="I301" s="133">
        <v>116.4</v>
      </c>
      <c r="J301" s="133">
        <v>44.1</v>
      </c>
      <c r="K301" s="133">
        <v>44.7</v>
      </c>
      <c r="L301" s="133">
        <v>0</v>
      </c>
      <c r="M301" s="133">
        <v>0</v>
      </c>
      <c r="N301" s="133">
        <f>138-O301</f>
        <v>0</v>
      </c>
      <c r="O301" s="133">
        <v>138</v>
      </c>
      <c r="P301" s="122">
        <f t="shared" si="102"/>
        <v>3004</v>
      </c>
      <c r="T301" s="130"/>
    </row>
    <row r="302" spans="1:20" ht="12.75">
      <c r="A302" s="164" t="s">
        <v>317</v>
      </c>
      <c r="B302" s="119" t="s">
        <v>318</v>
      </c>
      <c r="C302" s="133">
        <v>0</v>
      </c>
      <c r="D302" s="133">
        <v>0</v>
      </c>
      <c r="E302" s="133">
        <v>0</v>
      </c>
      <c r="F302" s="133">
        <v>0</v>
      </c>
      <c r="G302" s="133">
        <v>0</v>
      </c>
      <c r="H302" s="133">
        <v>0</v>
      </c>
      <c r="I302" s="133">
        <v>0</v>
      </c>
      <c r="J302" s="133">
        <v>0</v>
      </c>
      <c r="K302" s="133">
        <v>0</v>
      </c>
      <c r="L302" s="133">
        <v>0</v>
      </c>
      <c r="M302" s="133">
        <v>0</v>
      </c>
      <c r="N302" s="133">
        <v>0</v>
      </c>
      <c r="O302" s="133"/>
      <c r="P302" s="122">
        <f t="shared" si="102"/>
        <v>0</v>
      </c>
      <c r="T302" s="130"/>
    </row>
    <row r="303" spans="1:20" ht="12.75">
      <c r="A303" s="164" t="s">
        <v>319</v>
      </c>
      <c r="B303" s="119" t="s">
        <v>320</v>
      </c>
      <c r="C303" s="133">
        <v>0</v>
      </c>
      <c r="D303" s="133">
        <v>0</v>
      </c>
      <c r="E303" s="133">
        <v>400</v>
      </c>
      <c r="F303" s="133">
        <v>24715.4</v>
      </c>
      <c r="G303" s="133">
        <v>7611.5</v>
      </c>
      <c r="H303" s="133">
        <v>8337.7</v>
      </c>
      <c r="I303" s="133">
        <v>13677.9</v>
      </c>
      <c r="J303" s="133">
        <v>5259.9</v>
      </c>
      <c r="K303" s="133">
        <v>9001.91</v>
      </c>
      <c r="L303" s="133">
        <v>7679.82</v>
      </c>
      <c r="M303" s="133">
        <v>17413.99</v>
      </c>
      <c r="N303" s="133">
        <f>18642.21-O303</f>
        <v>9275.029999999999</v>
      </c>
      <c r="O303" s="133">
        <v>9367.18</v>
      </c>
      <c r="P303" s="122">
        <f t="shared" si="102"/>
        <v>112740.33000000002</v>
      </c>
      <c r="T303" s="130"/>
    </row>
    <row r="304" spans="1:20" ht="12.75">
      <c r="A304" s="164" t="s">
        <v>321</v>
      </c>
      <c r="B304" s="119" t="s">
        <v>322</v>
      </c>
      <c r="C304" s="133">
        <v>0</v>
      </c>
      <c r="D304" s="133">
        <v>0</v>
      </c>
      <c r="E304" s="133">
        <v>0</v>
      </c>
      <c r="F304" s="133">
        <v>0</v>
      </c>
      <c r="G304" s="133">
        <v>0</v>
      </c>
      <c r="H304" s="133">
        <v>0</v>
      </c>
      <c r="I304" s="133">
        <v>0</v>
      </c>
      <c r="J304" s="133">
        <v>0</v>
      </c>
      <c r="K304" s="133">
        <v>0</v>
      </c>
      <c r="L304" s="133">
        <v>0</v>
      </c>
      <c r="M304" s="133">
        <v>0</v>
      </c>
      <c r="N304" s="133">
        <v>0</v>
      </c>
      <c r="O304" s="133"/>
      <c r="P304" s="122">
        <f t="shared" si="102"/>
        <v>0</v>
      </c>
      <c r="T304" s="130"/>
    </row>
    <row r="305" spans="1:20" ht="12.75">
      <c r="A305" s="164" t="s">
        <v>323</v>
      </c>
      <c r="B305" s="119" t="s">
        <v>324</v>
      </c>
      <c r="C305" s="133">
        <v>0</v>
      </c>
      <c r="D305" s="133">
        <v>0</v>
      </c>
      <c r="E305" s="133">
        <v>0</v>
      </c>
      <c r="F305" s="133">
        <v>96.67</v>
      </c>
      <c r="G305" s="133">
        <v>724.88</v>
      </c>
      <c r="H305" s="133">
        <v>36.92</v>
      </c>
      <c r="I305" s="133">
        <v>815</v>
      </c>
      <c r="J305" s="133">
        <v>0</v>
      </c>
      <c r="K305" s="133">
        <v>0</v>
      </c>
      <c r="L305" s="133">
        <v>248.09</v>
      </c>
      <c r="M305" s="133">
        <v>852.34</v>
      </c>
      <c r="N305" s="133">
        <f>21804.3-O305</f>
        <v>4558.329999999998</v>
      </c>
      <c r="O305" s="133">
        <v>17245.97</v>
      </c>
      <c r="P305" s="122">
        <f t="shared" si="102"/>
        <v>24578.199999999997</v>
      </c>
      <c r="T305" s="130"/>
    </row>
    <row r="306" spans="1:20" ht="12.75">
      <c r="A306" s="164" t="s">
        <v>325</v>
      </c>
      <c r="B306" s="119" t="s">
        <v>326</v>
      </c>
      <c r="C306" s="133">
        <v>0</v>
      </c>
      <c r="D306" s="133">
        <v>0</v>
      </c>
      <c r="E306" s="133">
        <v>0</v>
      </c>
      <c r="F306" s="133">
        <v>0</v>
      </c>
      <c r="G306" s="133">
        <v>0</v>
      </c>
      <c r="H306" s="133">
        <v>0</v>
      </c>
      <c r="I306" s="133">
        <v>0</v>
      </c>
      <c r="J306" s="133">
        <v>0</v>
      </c>
      <c r="K306" s="133">
        <v>5580</v>
      </c>
      <c r="L306" s="133">
        <v>0</v>
      </c>
      <c r="M306" s="133">
        <v>0</v>
      </c>
      <c r="N306" s="133">
        <f>22320-O306</f>
        <v>0</v>
      </c>
      <c r="O306" s="133">
        <f>16740+5580</f>
        <v>22320</v>
      </c>
      <c r="P306" s="122">
        <f t="shared" si="102"/>
        <v>27900</v>
      </c>
      <c r="T306" s="130"/>
    </row>
    <row r="307" spans="1:20" ht="12.75">
      <c r="A307" s="164" t="s">
        <v>327</v>
      </c>
      <c r="B307" s="119" t="s">
        <v>328</v>
      </c>
      <c r="C307" s="133">
        <v>0</v>
      </c>
      <c r="D307" s="133">
        <v>300</v>
      </c>
      <c r="E307" s="133">
        <v>755.4</v>
      </c>
      <c r="F307" s="133">
        <v>2059.6</v>
      </c>
      <c r="G307" s="133">
        <v>58.7</v>
      </c>
      <c r="H307" s="133">
        <v>3513.2</v>
      </c>
      <c r="I307" s="133">
        <v>10500</v>
      </c>
      <c r="J307" s="133">
        <v>659</v>
      </c>
      <c r="K307" s="133">
        <v>1839.78</v>
      </c>
      <c r="L307" s="133">
        <v>5912.8</v>
      </c>
      <c r="M307" s="133">
        <v>5877.9</v>
      </c>
      <c r="N307" s="133">
        <v>4736.38</v>
      </c>
      <c r="O307" s="133"/>
      <c r="P307" s="122">
        <f t="shared" si="102"/>
        <v>36212.759999999995</v>
      </c>
      <c r="T307" s="130"/>
    </row>
    <row r="308" spans="1:20" ht="12.75">
      <c r="A308" s="164" t="s">
        <v>329</v>
      </c>
      <c r="B308" s="119" t="s">
        <v>330</v>
      </c>
      <c r="C308" s="133">
        <v>0</v>
      </c>
      <c r="D308" s="133">
        <v>0</v>
      </c>
      <c r="E308" s="133">
        <v>0</v>
      </c>
      <c r="F308" s="133">
        <v>0</v>
      </c>
      <c r="G308" s="133">
        <v>99</v>
      </c>
      <c r="H308" s="133">
        <v>0</v>
      </c>
      <c r="I308" s="133">
        <v>0</v>
      </c>
      <c r="J308" s="133">
        <v>420</v>
      </c>
      <c r="K308" s="133">
        <v>0</v>
      </c>
      <c r="L308" s="133">
        <v>110</v>
      </c>
      <c r="M308" s="133">
        <v>0</v>
      </c>
      <c r="N308" s="133">
        <v>2086.5</v>
      </c>
      <c r="O308" s="133"/>
      <c r="P308" s="122">
        <f t="shared" si="102"/>
        <v>2715.5</v>
      </c>
      <c r="T308" s="130"/>
    </row>
    <row r="309" spans="1:20" ht="12.75">
      <c r="A309" s="164" t="s">
        <v>552</v>
      </c>
      <c r="B309" s="119" t="s">
        <v>553</v>
      </c>
      <c r="C309" s="133">
        <v>0</v>
      </c>
      <c r="D309" s="133">
        <v>0</v>
      </c>
      <c r="E309" s="133">
        <v>0</v>
      </c>
      <c r="F309" s="133">
        <v>0</v>
      </c>
      <c r="G309" s="133">
        <v>0</v>
      </c>
      <c r="H309" s="133">
        <v>0</v>
      </c>
      <c r="I309" s="133">
        <v>0</v>
      </c>
      <c r="J309" s="133">
        <v>0</v>
      </c>
      <c r="K309" s="133">
        <v>0</v>
      </c>
      <c r="L309" s="133">
        <v>0</v>
      </c>
      <c r="M309" s="133">
        <v>0</v>
      </c>
      <c r="N309" s="133">
        <v>0</v>
      </c>
      <c r="O309" s="133"/>
      <c r="P309" s="122">
        <f t="shared" si="102"/>
        <v>0</v>
      </c>
      <c r="T309" s="130"/>
    </row>
    <row r="310" spans="1:20" ht="12.75">
      <c r="A310" s="164" t="s">
        <v>331</v>
      </c>
      <c r="B310" s="119" t="s">
        <v>332</v>
      </c>
      <c r="C310" s="133">
        <v>89000</v>
      </c>
      <c r="D310" s="133">
        <v>10459.2</v>
      </c>
      <c r="E310" s="133">
        <v>7421.25</v>
      </c>
      <c r="F310" s="133">
        <v>415.34</v>
      </c>
      <c r="G310" s="121">
        <v>-15995.79</v>
      </c>
      <c r="H310" s="121">
        <v>10490</v>
      </c>
      <c r="I310" s="121">
        <v>-15644.67</v>
      </c>
      <c r="J310" s="121">
        <v>4136.67</v>
      </c>
      <c r="K310" s="121">
        <v>-3515</v>
      </c>
      <c r="L310" s="121">
        <v>-5581</v>
      </c>
      <c r="M310" s="121">
        <v>709.26</v>
      </c>
      <c r="N310" s="121">
        <v>-78533.26</v>
      </c>
      <c r="O310" s="121"/>
      <c r="P310" s="122">
        <f t="shared" si="102"/>
        <v>3362</v>
      </c>
      <c r="T310" s="130"/>
    </row>
    <row r="311" spans="1:20" ht="12.75">
      <c r="A311" s="164"/>
      <c r="B311" s="116" t="s">
        <v>267</v>
      </c>
      <c r="C311" s="117">
        <f>SUM(C312:C315)</f>
        <v>0</v>
      </c>
      <c r="D311" s="117">
        <f aca="true" t="shared" si="103" ref="D311:P311">SUM(D312:D315)</f>
        <v>0</v>
      </c>
      <c r="E311" s="117">
        <f t="shared" si="103"/>
        <v>0</v>
      </c>
      <c r="F311" s="117">
        <f t="shared" si="103"/>
        <v>0</v>
      </c>
      <c r="G311" s="117">
        <f t="shared" si="103"/>
        <v>0</v>
      </c>
      <c r="H311" s="117">
        <f t="shared" si="103"/>
        <v>0</v>
      </c>
      <c r="I311" s="117">
        <f t="shared" si="103"/>
        <v>0</v>
      </c>
      <c r="J311" s="117">
        <f t="shared" si="103"/>
        <v>0</v>
      </c>
      <c r="K311" s="117">
        <f t="shared" si="103"/>
        <v>0</v>
      </c>
      <c r="L311" s="117">
        <f t="shared" si="103"/>
        <v>0</v>
      </c>
      <c r="M311" s="117">
        <f t="shared" si="103"/>
        <v>0</v>
      </c>
      <c r="N311" s="117">
        <f t="shared" si="103"/>
        <v>0</v>
      </c>
      <c r="O311" s="117">
        <f t="shared" si="103"/>
        <v>0</v>
      </c>
      <c r="P311" s="117">
        <f t="shared" si="103"/>
        <v>0</v>
      </c>
      <c r="T311" s="130"/>
    </row>
    <row r="312" spans="1:20" s="103" customFormat="1" ht="12.75">
      <c r="A312" s="165"/>
      <c r="B312" s="124" t="s">
        <v>272</v>
      </c>
      <c r="C312" s="155">
        <v>0</v>
      </c>
      <c r="D312" s="155">
        <v>0</v>
      </c>
      <c r="E312" s="155">
        <v>0</v>
      </c>
      <c r="F312" s="155">
        <v>0</v>
      </c>
      <c r="G312" s="155">
        <v>0</v>
      </c>
      <c r="H312" s="155">
        <v>0</v>
      </c>
      <c r="I312" s="155">
        <v>0</v>
      </c>
      <c r="J312" s="155">
        <v>0</v>
      </c>
      <c r="K312" s="155">
        <v>0</v>
      </c>
      <c r="L312" s="155">
        <v>0</v>
      </c>
      <c r="M312" s="155">
        <v>0</v>
      </c>
      <c r="N312" s="166">
        <v>0</v>
      </c>
      <c r="O312" s="155">
        <v>0</v>
      </c>
      <c r="P312" s="166">
        <f>SUM(C312:O312)</f>
        <v>0</v>
      </c>
      <c r="R312" s="20"/>
      <c r="T312" s="20"/>
    </row>
    <row r="313" spans="1:20" ht="12.75">
      <c r="A313" s="164" t="s">
        <v>296</v>
      </c>
      <c r="B313" s="119" t="s">
        <v>333</v>
      </c>
      <c r="C313" s="155">
        <v>0</v>
      </c>
      <c r="D313" s="155">
        <v>0</v>
      </c>
      <c r="E313" s="155">
        <v>0</v>
      </c>
      <c r="F313" s="155">
        <v>0</v>
      </c>
      <c r="G313" s="155">
        <v>0</v>
      </c>
      <c r="H313" s="155">
        <v>0</v>
      </c>
      <c r="I313" s="155">
        <v>0</v>
      </c>
      <c r="J313" s="155">
        <v>0</v>
      </c>
      <c r="K313" s="155">
        <v>0</v>
      </c>
      <c r="L313" s="155">
        <v>0</v>
      </c>
      <c r="M313" s="155">
        <v>0</v>
      </c>
      <c r="N313" s="155">
        <v>0</v>
      </c>
      <c r="O313" s="155">
        <v>0</v>
      </c>
      <c r="P313" s="122">
        <f>SUM(C313:O313)</f>
        <v>0</v>
      </c>
      <c r="T313" s="130"/>
    </row>
    <row r="314" spans="1:20" ht="12.75">
      <c r="A314" s="164" t="s">
        <v>297</v>
      </c>
      <c r="B314" s="119" t="s">
        <v>334</v>
      </c>
      <c r="C314" s="155">
        <v>0</v>
      </c>
      <c r="D314" s="155">
        <v>0</v>
      </c>
      <c r="E314" s="155">
        <v>0</v>
      </c>
      <c r="F314" s="155">
        <v>0</v>
      </c>
      <c r="G314" s="155">
        <v>0</v>
      </c>
      <c r="H314" s="155">
        <v>0</v>
      </c>
      <c r="I314" s="155">
        <v>0</v>
      </c>
      <c r="J314" s="155">
        <v>0</v>
      </c>
      <c r="K314" s="155">
        <v>0</v>
      </c>
      <c r="L314" s="155">
        <v>0</v>
      </c>
      <c r="M314" s="155">
        <v>0</v>
      </c>
      <c r="N314" s="155">
        <v>0</v>
      </c>
      <c r="O314" s="155">
        <v>0</v>
      </c>
      <c r="P314" s="122">
        <f>SUM(C314:O314)</f>
        <v>0</v>
      </c>
      <c r="T314" s="130"/>
    </row>
    <row r="315" spans="1:20" ht="12.75">
      <c r="A315" s="164" t="s">
        <v>319</v>
      </c>
      <c r="B315" s="119" t="s">
        <v>335</v>
      </c>
      <c r="C315" s="155">
        <v>0</v>
      </c>
      <c r="D315" s="155">
        <v>0</v>
      </c>
      <c r="E315" s="155">
        <v>0</v>
      </c>
      <c r="F315" s="155">
        <v>0</v>
      </c>
      <c r="G315" s="167">
        <v>0</v>
      </c>
      <c r="H315" s="167">
        <v>0</v>
      </c>
      <c r="I315" s="167">
        <v>0</v>
      </c>
      <c r="J315" s="167">
        <v>0</v>
      </c>
      <c r="K315" s="167">
        <v>0</v>
      </c>
      <c r="L315" s="167">
        <v>0</v>
      </c>
      <c r="M315" s="167">
        <v>0</v>
      </c>
      <c r="N315" s="167">
        <v>0</v>
      </c>
      <c r="O315" s="167">
        <v>0</v>
      </c>
      <c r="P315" s="122">
        <f>SUM(C315:O315)</f>
        <v>0</v>
      </c>
      <c r="T315" s="130"/>
    </row>
    <row r="316" spans="1:20" ht="12.75">
      <c r="A316" s="162" t="s">
        <v>528</v>
      </c>
      <c r="B316" s="162" t="s">
        <v>529</v>
      </c>
      <c r="C316" s="222">
        <f>SUM(C317)</f>
        <v>0</v>
      </c>
      <c r="D316" s="222">
        <f aca="true" t="shared" si="104" ref="D316:P316">SUM(D317)</f>
        <v>0</v>
      </c>
      <c r="E316" s="222">
        <f t="shared" si="104"/>
        <v>0</v>
      </c>
      <c r="F316" s="222">
        <f t="shared" si="104"/>
        <v>0</v>
      </c>
      <c r="G316" s="222">
        <f t="shared" si="104"/>
        <v>0</v>
      </c>
      <c r="H316" s="222">
        <f t="shared" si="104"/>
        <v>0</v>
      </c>
      <c r="I316" s="222">
        <f t="shared" si="104"/>
        <v>0</v>
      </c>
      <c r="J316" s="222">
        <f t="shared" si="104"/>
        <v>0</v>
      </c>
      <c r="K316" s="222">
        <f t="shared" si="104"/>
        <v>0</v>
      </c>
      <c r="L316" s="222">
        <f t="shared" si="104"/>
        <v>0</v>
      </c>
      <c r="M316" s="222">
        <f t="shared" si="104"/>
        <v>2076.7</v>
      </c>
      <c r="N316" s="222">
        <f t="shared" si="104"/>
        <v>18</v>
      </c>
      <c r="O316" s="222">
        <f t="shared" si="104"/>
        <v>0</v>
      </c>
      <c r="P316" s="222">
        <f t="shared" si="104"/>
        <v>2094.7</v>
      </c>
      <c r="T316" s="130"/>
    </row>
    <row r="317" spans="1:20" ht="13.5" thickBot="1">
      <c r="A317" s="164" t="s">
        <v>530</v>
      </c>
      <c r="B317" s="119" t="s">
        <v>531</v>
      </c>
      <c r="C317" s="155">
        <v>0</v>
      </c>
      <c r="D317" s="155">
        <v>0</v>
      </c>
      <c r="E317" s="155">
        <v>0</v>
      </c>
      <c r="F317" s="155">
        <v>0</v>
      </c>
      <c r="G317" s="167">
        <v>0</v>
      </c>
      <c r="H317" s="167">
        <v>0</v>
      </c>
      <c r="I317" s="167">
        <v>0</v>
      </c>
      <c r="J317" s="167">
        <v>0</v>
      </c>
      <c r="K317" s="167">
        <v>0</v>
      </c>
      <c r="L317" s="167">
        <v>0</v>
      </c>
      <c r="M317" s="167">
        <v>2076.7</v>
      </c>
      <c r="N317" s="167">
        <v>18</v>
      </c>
      <c r="O317" s="167">
        <v>0</v>
      </c>
      <c r="P317" s="122">
        <f>SUM(C317:O317)</f>
        <v>2094.7</v>
      </c>
      <c r="T317" s="130"/>
    </row>
    <row r="318" spans="1:20" ht="13.5" thickBot="1">
      <c r="A318" s="168"/>
      <c r="B318" s="116" t="s">
        <v>336</v>
      </c>
      <c r="C318" s="143">
        <f aca="true" t="shared" si="105" ref="C318:P318">C280+C311+C316</f>
        <v>89134.64</v>
      </c>
      <c r="D318" s="143">
        <f t="shared" si="105"/>
        <v>12459.7</v>
      </c>
      <c r="E318" s="143">
        <f t="shared" si="105"/>
        <v>42822.520000000004</v>
      </c>
      <c r="F318" s="143">
        <f t="shared" si="105"/>
        <v>96553.65999999999</v>
      </c>
      <c r="G318" s="143">
        <f t="shared" si="105"/>
        <v>71222.04999999999</v>
      </c>
      <c r="H318" s="143">
        <f t="shared" si="105"/>
        <v>145502.07000000004</v>
      </c>
      <c r="I318" s="143">
        <f t="shared" si="105"/>
        <v>111944.65999999999</v>
      </c>
      <c r="J318" s="143">
        <f t="shared" si="105"/>
        <v>35799.67</v>
      </c>
      <c r="K318" s="143">
        <f t="shared" si="105"/>
        <v>59549.270000000004</v>
      </c>
      <c r="L318" s="143">
        <f t="shared" si="105"/>
        <v>64018.40000000001</v>
      </c>
      <c r="M318" s="143">
        <f t="shared" si="105"/>
        <v>62976.45999999999</v>
      </c>
      <c r="N318" s="143">
        <f t="shared" si="105"/>
        <v>24383.62999999999</v>
      </c>
      <c r="O318" s="143">
        <f t="shared" si="105"/>
        <v>159081.45</v>
      </c>
      <c r="P318" s="143">
        <f t="shared" si="105"/>
        <v>975448.1799999999</v>
      </c>
      <c r="T318" s="130"/>
    </row>
    <row r="319" spans="3:20" s="111" customFormat="1" ht="13.5" thickBot="1"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40"/>
      <c r="R319" s="219"/>
      <c r="T319" s="147"/>
    </row>
    <row r="320" spans="1:20" ht="12.75">
      <c r="A320" s="157"/>
      <c r="B320" s="116" t="s">
        <v>337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22"/>
      <c r="T320" s="130"/>
    </row>
    <row r="321" spans="1:20" ht="12.75">
      <c r="A321" s="123"/>
      <c r="B321" s="116" t="s">
        <v>171</v>
      </c>
      <c r="C321" s="117">
        <f aca="true" t="shared" si="106" ref="C321:P321">SUM(C322:C322)</f>
        <v>0</v>
      </c>
      <c r="D321" s="117">
        <f t="shared" si="106"/>
        <v>245070.35</v>
      </c>
      <c r="E321" s="117">
        <f t="shared" si="106"/>
        <v>121982.02</v>
      </c>
      <c r="F321" s="117">
        <f t="shared" si="106"/>
        <v>121777.75</v>
      </c>
      <c r="G321" s="117">
        <f t="shared" si="106"/>
        <v>120683.72</v>
      </c>
      <c r="H321" s="117">
        <f t="shared" si="106"/>
        <v>127675.76</v>
      </c>
      <c r="I321" s="117">
        <f t="shared" si="106"/>
        <v>134949.14</v>
      </c>
      <c r="J321" s="117">
        <f t="shared" si="106"/>
        <v>105907.35</v>
      </c>
      <c r="K321" s="117">
        <f t="shared" si="106"/>
        <v>112853.94</v>
      </c>
      <c r="L321" s="117">
        <f t="shared" si="106"/>
        <v>109837.12</v>
      </c>
      <c r="M321" s="117">
        <f t="shared" si="106"/>
        <v>110654.1</v>
      </c>
      <c r="N321" s="117">
        <f t="shared" si="106"/>
        <v>109377.09999999999</v>
      </c>
      <c r="O321" s="117">
        <f t="shared" si="106"/>
        <v>1694.85</v>
      </c>
      <c r="P321" s="117">
        <f t="shared" si="106"/>
        <v>1422463.2000000002</v>
      </c>
      <c r="T321" s="130"/>
    </row>
    <row r="322" spans="1:20" ht="12.75">
      <c r="A322" s="123" t="s">
        <v>28</v>
      </c>
      <c r="B322" s="119" t="s">
        <v>338</v>
      </c>
      <c r="C322" s="120">
        <v>0</v>
      </c>
      <c r="D322" s="121">
        <v>245070.35</v>
      </c>
      <c r="E322" s="120">
        <v>121982.02</v>
      </c>
      <c r="F322" s="120">
        <v>121777.75</v>
      </c>
      <c r="G322" s="120">
        <v>120683.72</v>
      </c>
      <c r="H322" s="120">
        <v>127675.76</v>
      </c>
      <c r="I322" s="120">
        <v>134949.14</v>
      </c>
      <c r="J322" s="120">
        <v>105907.35</v>
      </c>
      <c r="K322" s="120">
        <v>112853.94</v>
      </c>
      <c r="L322" s="120">
        <v>109837.12</v>
      </c>
      <c r="M322" s="120">
        <v>110654.1</v>
      </c>
      <c r="N322" s="120">
        <f>111071.95-O322</f>
        <v>109377.09999999999</v>
      </c>
      <c r="O322" s="120">
        <v>1694.85</v>
      </c>
      <c r="P322" s="122">
        <f>SUM(C322:O322)</f>
        <v>1422463.2000000002</v>
      </c>
      <c r="T322" s="130"/>
    </row>
    <row r="323" spans="1:20" s="125" customFormat="1" ht="12.75">
      <c r="A323" s="170"/>
      <c r="B323" s="162" t="s">
        <v>179</v>
      </c>
      <c r="C323" s="117">
        <f aca="true" t="shared" si="107" ref="C323:P323">SUM(C324)</f>
        <v>0</v>
      </c>
      <c r="D323" s="117">
        <f t="shared" si="107"/>
        <v>0</v>
      </c>
      <c r="E323" s="117">
        <f t="shared" si="107"/>
        <v>0</v>
      </c>
      <c r="F323" s="117">
        <f t="shared" si="107"/>
        <v>0</v>
      </c>
      <c r="G323" s="117">
        <f t="shared" si="107"/>
        <v>0</v>
      </c>
      <c r="H323" s="117">
        <f t="shared" si="107"/>
        <v>0</v>
      </c>
      <c r="I323" s="117">
        <f t="shared" si="107"/>
        <v>0</v>
      </c>
      <c r="J323" s="117">
        <f t="shared" si="107"/>
        <v>0</v>
      </c>
      <c r="K323" s="117">
        <f t="shared" si="107"/>
        <v>0</v>
      </c>
      <c r="L323" s="117">
        <f t="shared" si="107"/>
        <v>0</v>
      </c>
      <c r="M323" s="117">
        <f t="shared" si="107"/>
        <v>0</v>
      </c>
      <c r="N323" s="117">
        <f t="shared" si="107"/>
        <v>0</v>
      </c>
      <c r="O323" s="117">
        <f t="shared" si="107"/>
        <v>0</v>
      </c>
      <c r="P323" s="117">
        <f t="shared" si="107"/>
        <v>0</v>
      </c>
      <c r="R323" s="152"/>
      <c r="T323" s="152"/>
    </row>
    <row r="324" spans="1:20" ht="12.75">
      <c r="A324" s="171"/>
      <c r="B324" s="164" t="s">
        <v>339</v>
      </c>
      <c r="C324" s="120">
        <v>0</v>
      </c>
      <c r="D324" s="121">
        <v>0</v>
      </c>
      <c r="E324" s="120">
        <v>0</v>
      </c>
      <c r="F324" s="120">
        <v>0</v>
      </c>
      <c r="G324" s="120">
        <v>0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2">
        <f>SUM(C324:O324)</f>
        <v>0</v>
      </c>
      <c r="T324" s="130"/>
    </row>
    <row r="325" spans="1:20" s="125" customFormat="1" ht="13.5" thickBot="1">
      <c r="A325" s="172"/>
      <c r="B325" s="116" t="s">
        <v>340</v>
      </c>
      <c r="C325" s="117">
        <f aca="true" t="shared" si="108" ref="C325:P325">C321+C323</f>
        <v>0</v>
      </c>
      <c r="D325" s="117">
        <f t="shared" si="108"/>
        <v>245070.35</v>
      </c>
      <c r="E325" s="117">
        <f t="shared" si="108"/>
        <v>121982.02</v>
      </c>
      <c r="F325" s="117">
        <f t="shared" si="108"/>
        <v>121777.75</v>
      </c>
      <c r="G325" s="117">
        <f t="shared" si="108"/>
        <v>120683.72</v>
      </c>
      <c r="H325" s="117">
        <f t="shared" si="108"/>
        <v>127675.76</v>
      </c>
      <c r="I325" s="117">
        <f t="shared" si="108"/>
        <v>134949.14</v>
      </c>
      <c r="J325" s="117">
        <f t="shared" si="108"/>
        <v>105907.35</v>
      </c>
      <c r="K325" s="117">
        <f t="shared" si="108"/>
        <v>112853.94</v>
      </c>
      <c r="L325" s="117">
        <f t="shared" si="108"/>
        <v>109837.12</v>
      </c>
      <c r="M325" s="117">
        <f t="shared" si="108"/>
        <v>110654.1</v>
      </c>
      <c r="N325" s="117">
        <f t="shared" si="108"/>
        <v>109377.09999999999</v>
      </c>
      <c r="O325" s="117">
        <f t="shared" si="108"/>
        <v>1694.85</v>
      </c>
      <c r="P325" s="117">
        <f t="shared" si="108"/>
        <v>1422463.2000000002</v>
      </c>
      <c r="R325" s="152"/>
      <c r="T325" s="152"/>
    </row>
    <row r="326" spans="1:20" ht="13.5" thickBot="1">
      <c r="A326" s="111"/>
      <c r="B326" s="111"/>
      <c r="C326" s="169"/>
      <c r="D326" s="173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40"/>
      <c r="T326" s="130"/>
    </row>
    <row r="327" spans="1:20" ht="12.75">
      <c r="A327" s="223" t="s">
        <v>29</v>
      </c>
      <c r="B327" s="174" t="s">
        <v>30</v>
      </c>
      <c r="C327" s="175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6"/>
      <c r="Q327" s="177"/>
      <c r="T327" s="130"/>
    </row>
    <row r="328" spans="1:20" ht="12.75">
      <c r="A328" s="224"/>
      <c r="B328" s="174" t="s">
        <v>145</v>
      </c>
      <c r="C328" s="175">
        <f>SUM(C329:C331)</f>
        <v>30125.12</v>
      </c>
      <c r="D328" s="175">
        <f aca="true" t="shared" si="109" ref="D328:P328">SUM(D329:D331)</f>
        <v>35149.04</v>
      </c>
      <c r="E328" s="175">
        <f t="shared" si="109"/>
        <v>30747.4</v>
      </c>
      <c r="F328" s="175">
        <f t="shared" si="109"/>
        <v>5692.47</v>
      </c>
      <c r="G328" s="175">
        <f t="shared" si="109"/>
        <v>65915.73000000001</v>
      </c>
      <c r="H328" s="175">
        <f t="shared" si="109"/>
        <v>4344</v>
      </c>
      <c r="I328" s="175">
        <f t="shared" si="109"/>
        <v>47756.26</v>
      </c>
      <c r="J328" s="175">
        <f t="shared" si="109"/>
        <v>5792</v>
      </c>
      <c r="K328" s="175">
        <f t="shared" si="109"/>
        <v>13402.81</v>
      </c>
      <c r="L328" s="175">
        <f t="shared" si="109"/>
        <v>60341.25</v>
      </c>
      <c r="M328" s="175">
        <f t="shared" si="109"/>
        <v>33510.55</v>
      </c>
      <c r="N328" s="175">
        <f t="shared" si="109"/>
        <v>8999.09</v>
      </c>
      <c r="O328" s="175">
        <f t="shared" si="109"/>
        <v>101652.28</v>
      </c>
      <c r="P328" s="175">
        <f t="shared" si="109"/>
        <v>443428</v>
      </c>
      <c r="Q328" s="177"/>
      <c r="T328" s="130"/>
    </row>
    <row r="329" spans="1:20" s="103" customFormat="1" ht="12.75">
      <c r="A329" s="225" t="s">
        <v>532</v>
      </c>
      <c r="B329" s="226" t="s">
        <v>533</v>
      </c>
      <c r="C329" s="178">
        <v>0</v>
      </c>
      <c r="D329" s="178">
        <v>0</v>
      </c>
      <c r="E329" s="178">
        <v>24466.64</v>
      </c>
      <c r="F329" s="178">
        <v>0</v>
      </c>
      <c r="G329" s="178">
        <v>0</v>
      </c>
      <c r="H329" s="178">
        <v>0</v>
      </c>
      <c r="I329" s="178">
        <v>0</v>
      </c>
      <c r="J329" s="178">
        <v>0</v>
      </c>
      <c r="K329" s="178">
        <v>0</v>
      </c>
      <c r="L329" s="178">
        <v>0</v>
      </c>
      <c r="M329" s="178">
        <v>0</v>
      </c>
      <c r="N329" s="178">
        <f>75533.36-O329</f>
        <v>0</v>
      </c>
      <c r="O329" s="178">
        <v>75533.36</v>
      </c>
      <c r="P329" s="122">
        <f>SUM(C329:O329)</f>
        <v>100000</v>
      </c>
      <c r="Q329" s="177"/>
      <c r="R329" s="20"/>
      <c r="T329" s="20"/>
    </row>
    <row r="330" spans="1:20" ht="12.75">
      <c r="A330" s="225" t="s">
        <v>534</v>
      </c>
      <c r="B330" s="226" t="s">
        <v>535</v>
      </c>
      <c r="C330" s="178">
        <v>26589.68</v>
      </c>
      <c r="D330" s="178">
        <v>30081.04</v>
      </c>
      <c r="E330" s="178">
        <v>4470.76</v>
      </c>
      <c r="F330" s="178">
        <v>4244.47</v>
      </c>
      <c r="G330" s="178">
        <v>61571.73</v>
      </c>
      <c r="H330" s="178">
        <v>0</v>
      </c>
      <c r="I330" s="178">
        <v>40516.26</v>
      </c>
      <c r="J330" s="178">
        <v>0</v>
      </c>
      <c r="K330" s="178">
        <v>9782.81</v>
      </c>
      <c r="L330" s="178">
        <v>56721.25</v>
      </c>
      <c r="M330" s="178">
        <v>31338.55</v>
      </c>
      <c r="N330" s="178">
        <f>24683.45-O330</f>
        <v>4655.09</v>
      </c>
      <c r="O330" s="178">
        <v>20028.36</v>
      </c>
      <c r="P330" s="122">
        <f>SUM(C330:O330)</f>
        <v>290000</v>
      </c>
      <c r="Q330" s="177"/>
      <c r="T330" s="130"/>
    </row>
    <row r="331" spans="1:20" ht="12.75">
      <c r="A331" s="225" t="s">
        <v>536</v>
      </c>
      <c r="B331" s="226" t="s">
        <v>537</v>
      </c>
      <c r="C331" s="178">
        <v>3535.44</v>
      </c>
      <c r="D331" s="178">
        <v>5068</v>
      </c>
      <c r="E331" s="178">
        <v>1810</v>
      </c>
      <c r="F331" s="178">
        <v>1448</v>
      </c>
      <c r="G331" s="178">
        <v>4344</v>
      </c>
      <c r="H331" s="178">
        <v>4344</v>
      </c>
      <c r="I331" s="178">
        <v>7240</v>
      </c>
      <c r="J331" s="178">
        <v>5792</v>
      </c>
      <c r="K331" s="178">
        <v>3620</v>
      </c>
      <c r="L331" s="178">
        <v>3620</v>
      </c>
      <c r="M331" s="178">
        <v>2172</v>
      </c>
      <c r="N331" s="178">
        <f>10434.56-O331</f>
        <v>4343.999999999999</v>
      </c>
      <c r="O331" s="178">
        <v>6090.56</v>
      </c>
      <c r="P331" s="122">
        <f>SUM(C331:O331)</f>
        <v>53428</v>
      </c>
      <c r="Q331" s="177"/>
      <c r="T331" s="130"/>
    </row>
    <row r="332" spans="1:20" ht="12.75">
      <c r="A332" s="187"/>
      <c r="B332" s="187" t="s">
        <v>199</v>
      </c>
      <c r="C332" s="175">
        <f aca="true" t="shared" si="110" ref="C332:P332">SUM(C333)</f>
        <v>0</v>
      </c>
      <c r="D332" s="175">
        <f t="shared" si="110"/>
        <v>0</v>
      </c>
      <c r="E332" s="175">
        <f t="shared" si="110"/>
        <v>0</v>
      </c>
      <c r="F332" s="175">
        <f t="shared" si="110"/>
        <v>0</v>
      </c>
      <c r="G332" s="175">
        <f t="shared" si="110"/>
        <v>0</v>
      </c>
      <c r="H332" s="175">
        <f t="shared" si="110"/>
        <v>0</v>
      </c>
      <c r="I332" s="175">
        <f t="shared" si="110"/>
        <v>0</v>
      </c>
      <c r="J332" s="175">
        <f t="shared" si="110"/>
        <v>0</v>
      </c>
      <c r="K332" s="175">
        <f t="shared" si="110"/>
        <v>0</v>
      </c>
      <c r="L332" s="175">
        <f t="shared" si="110"/>
        <v>21285.76</v>
      </c>
      <c r="M332" s="175">
        <f t="shared" si="110"/>
        <v>0</v>
      </c>
      <c r="N332" s="175">
        <f t="shared" si="110"/>
        <v>27800.000000000015</v>
      </c>
      <c r="O332" s="175">
        <f t="shared" si="110"/>
        <v>103686.39</v>
      </c>
      <c r="P332" s="175">
        <f t="shared" si="110"/>
        <v>152772.15000000002</v>
      </c>
      <c r="Q332" s="177"/>
      <c r="T332" s="130"/>
    </row>
    <row r="333" spans="1:20" s="103" customFormat="1" ht="12.75">
      <c r="A333" s="226" t="s">
        <v>341</v>
      </c>
      <c r="B333" s="226" t="s">
        <v>538</v>
      </c>
      <c r="C333" s="178">
        <v>0</v>
      </c>
      <c r="D333" s="178">
        <v>0</v>
      </c>
      <c r="E333" s="178">
        <v>0</v>
      </c>
      <c r="F333" s="178">
        <v>0</v>
      </c>
      <c r="G333" s="178">
        <v>0</v>
      </c>
      <c r="H333" s="178">
        <v>0</v>
      </c>
      <c r="I333" s="178">
        <v>0</v>
      </c>
      <c r="J333" s="178">
        <v>0</v>
      </c>
      <c r="K333" s="178">
        <v>0</v>
      </c>
      <c r="L333" s="178">
        <v>21285.76</v>
      </c>
      <c r="M333" s="178">
        <v>0</v>
      </c>
      <c r="N333" s="178">
        <f>131486.39-O333</f>
        <v>27800.000000000015</v>
      </c>
      <c r="O333" s="178">
        <f>59686.39+44000</f>
        <v>103686.39</v>
      </c>
      <c r="P333" s="122">
        <f>SUM(C333:O333)</f>
        <v>152772.15000000002</v>
      </c>
      <c r="Q333" s="177"/>
      <c r="R333" s="20"/>
      <c r="T333" s="20"/>
    </row>
    <row r="334" spans="1:20" ht="12.75">
      <c r="A334" s="179"/>
      <c r="B334" s="187" t="s">
        <v>169</v>
      </c>
      <c r="C334" s="175">
        <f aca="true" t="shared" si="111" ref="C334:L334">SUM(C336:C343)</f>
        <v>51753.14</v>
      </c>
      <c r="D334" s="175">
        <f t="shared" si="111"/>
        <v>252335.91999999998</v>
      </c>
      <c r="E334" s="175">
        <f t="shared" si="111"/>
        <v>316725.61</v>
      </c>
      <c r="F334" s="175">
        <f t="shared" si="111"/>
        <v>370808.24</v>
      </c>
      <c r="G334" s="175">
        <f t="shared" si="111"/>
        <v>407517.5</v>
      </c>
      <c r="H334" s="175">
        <f t="shared" si="111"/>
        <v>432464.01</v>
      </c>
      <c r="I334" s="175">
        <f t="shared" si="111"/>
        <v>465943.96</v>
      </c>
      <c r="J334" s="175">
        <f t="shared" si="111"/>
        <v>462384.07</v>
      </c>
      <c r="K334" s="175">
        <f t="shared" si="111"/>
        <v>489157.27999999997</v>
      </c>
      <c r="L334" s="175">
        <f t="shared" si="111"/>
        <v>473118.70999999996</v>
      </c>
      <c r="M334" s="175">
        <f>SUM(M335:M343)</f>
        <v>487555.25</v>
      </c>
      <c r="N334" s="175">
        <f>SUM(N335:N343)</f>
        <v>701738.5800000001</v>
      </c>
      <c r="O334" s="175">
        <f>SUM(O335:O343)</f>
        <v>154136.31</v>
      </c>
      <c r="P334" s="175">
        <f>SUM(P335:P343)</f>
        <v>5065638.58</v>
      </c>
      <c r="Q334" s="177"/>
      <c r="T334" s="130"/>
    </row>
    <row r="335" spans="1:20" ht="12.75">
      <c r="A335" s="179" t="s">
        <v>358</v>
      </c>
      <c r="B335" s="179" t="s">
        <v>580</v>
      </c>
      <c r="C335" s="175"/>
      <c r="D335" s="175"/>
      <c r="E335" s="175"/>
      <c r="F335" s="175"/>
      <c r="G335" s="175"/>
      <c r="H335" s="175"/>
      <c r="I335" s="175"/>
      <c r="J335" s="175"/>
      <c r="K335" s="175"/>
      <c r="L335" s="178">
        <v>0</v>
      </c>
      <c r="M335" s="178">
        <v>0</v>
      </c>
      <c r="N335" s="178">
        <v>476.19</v>
      </c>
      <c r="O335" s="178"/>
      <c r="P335" s="176">
        <f aca="true" t="shared" si="112" ref="P335:P343">SUM(C335:O335)</f>
        <v>476.19</v>
      </c>
      <c r="Q335" s="177"/>
      <c r="T335" s="130"/>
    </row>
    <row r="336" spans="1:20" ht="12.75">
      <c r="A336" s="179" t="s">
        <v>342</v>
      </c>
      <c r="B336" s="179" t="s">
        <v>343</v>
      </c>
      <c r="C336" s="178">
        <v>2669.81</v>
      </c>
      <c r="D336" s="178">
        <v>2669.81</v>
      </c>
      <c r="E336" s="178">
        <v>2669.81</v>
      </c>
      <c r="F336" s="178">
        <v>2669.81</v>
      </c>
      <c r="G336" s="178">
        <v>2669.81</v>
      </c>
      <c r="H336" s="178">
        <v>2669.81</v>
      </c>
      <c r="I336" s="178">
        <v>0</v>
      </c>
      <c r="J336" s="178">
        <v>4004.71</v>
      </c>
      <c r="K336" s="178">
        <v>3000</v>
      </c>
      <c r="L336" s="178">
        <v>3000</v>
      </c>
      <c r="M336" s="178">
        <v>3000</v>
      </c>
      <c r="N336" s="178">
        <f>3780-O336</f>
        <v>3000</v>
      </c>
      <c r="O336" s="178">
        <v>780</v>
      </c>
      <c r="P336" s="176">
        <f t="shared" si="112"/>
        <v>32803.57</v>
      </c>
      <c r="Q336" s="177"/>
      <c r="T336" s="130"/>
    </row>
    <row r="337" spans="1:20" ht="12.75">
      <c r="A337" s="179" t="s">
        <v>344</v>
      </c>
      <c r="B337" s="180" t="s">
        <v>345</v>
      </c>
      <c r="C337" s="178">
        <v>0</v>
      </c>
      <c r="D337" s="178">
        <v>151681.83</v>
      </c>
      <c r="E337" s="178">
        <v>160611.63</v>
      </c>
      <c r="F337" s="178">
        <v>162183.29</v>
      </c>
      <c r="G337" s="178">
        <v>153741.67</v>
      </c>
      <c r="H337" s="178">
        <v>185426.57</v>
      </c>
      <c r="I337" s="178">
        <v>214100.89</v>
      </c>
      <c r="J337" s="178">
        <v>207971.67</v>
      </c>
      <c r="K337" s="178">
        <v>206156.68</v>
      </c>
      <c r="L337" s="178">
        <v>213218.55</v>
      </c>
      <c r="M337" s="178">
        <v>210078.35</v>
      </c>
      <c r="N337" s="178">
        <v>429800.19</v>
      </c>
      <c r="O337" s="178"/>
      <c r="P337" s="176">
        <f t="shared" si="112"/>
        <v>2294971.3200000003</v>
      </c>
      <c r="Q337" s="177"/>
      <c r="T337" s="130"/>
    </row>
    <row r="338" spans="1:20" ht="12.75">
      <c r="A338" s="179" t="s">
        <v>346</v>
      </c>
      <c r="B338" s="180" t="s">
        <v>347</v>
      </c>
      <c r="C338" s="178">
        <v>49083.33</v>
      </c>
      <c r="D338" s="178">
        <v>97984.28</v>
      </c>
      <c r="E338" s="178">
        <v>153444.17</v>
      </c>
      <c r="F338" s="178">
        <v>205955.14</v>
      </c>
      <c r="G338" s="178">
        <v>251106.02</v>
      </c>
      <c r="H338" s="178">
        <v>244367.63</v>
      </c>
      <c r="I338" s="178">
        <v>251843.07</v>
      </c>
      <c r="J338" s="178">
        <v>250407.69</v>
      </c>
      <c r="K338" s="178">
        <v>280000.6</v>
      </c>
      <c r="L338" s="178">
        <v>256900.16</v>
      </c>
      <c r="M338" s="178">
        <v>273076.9</v>
      </c>
      <c r="N338" s="178">
        <f>423218.51-O338</f>
        <v>269862.2</v>
      </c>
      <c r="O338" s="178">
        <v>153356.31</v>
      </c>
      <c r="P338" s="176">
        <f t="shared" si="112"/>
        <v>2737387.5000000005</v>
      </c>
      <c r="Q338" s="177"/>
      <c r="T338" s="130"/>
    </row>
    <row r="339" spans="1:20" ht="12.75">
      <c r="A339" s="179" t="s">
        <v>348</v>
      </c>
      <c r="B339" s="180" t="s">
        <v>349</v>
      </c>
      <c r="C339" s="178">
        <v>0</v>
      </c>
      <c r="D339" s="178">
        <v>0</v>
      </c>
      <c r="E339" s="178">
        <v>0</v>
      </c>
      <c r="F339" s="178">
        <v>0</v>
      </c>
      <c r="G339" s="178">
        <v>0</v>
      </c>
      <c r="H339" s="178">
        <v>0</v>
      </c>
      <c r="I339" s="178">
        <v>0</v>
      </c>
      <c r="J339" s="178">
        <v>0</v>
      </c>
      <c r="K339" s="178">
        <v>0</v>
      </c>
      <c r="L339" s="178">
        <v>0</v>
      </c>
      <c r="M339" s="178">
        <v>0</v>
      </c>
      <c r="N339" s="178">
        <v>0</v>
      </c>
      <c r="O339" s="178"/>
      <c r="P339" s="176">
        <f t="shared" si="112"/>
        <v>0</v>
      </c>
      <c r="Q339" s="177"/>
      <c r="T339" s="130"/>
    </row>
    <row r="340" spans="1:20" ht="12.75">
      <c r="A340" s="179" t="s">
        <v>350</v>
      </c>
      <c r="B340" s="180" t="s">
        <v>351</v>
      </c>
      <c r="C340" s="178">
        <v>0</v>
      </c>
      <c r="D340" s="178">
        <v>0</v>
      </c>
      <c r="E340" s="178">
        <v>0</v>
      </c>
      <c r="F340" s="178">
        <v>0</v>
      </c>
      <c r="G340" s="178">
        <v>0</v>
      </c>
      <c r="H340" s="178">
        <v>0</v>
      </c>
      <c r="I340" s="178">
        <v>0</v>
      </c>
      <c r="J340" s="178">
        <v>0</v>
      </c>
      <c r="K340" s="178">
        <v>0</v>
      </c>
      <c r="L340" s="178">
        <v>0</v>
      </c>
      <c r="M340" s="178">
        <v>0</v>
      </c>
      <c r="N340" s="178">
        <v>0</v>
      </c>
      <c r="O340" s="178"/>
      <c r="P340" s="176">
        <f t="shared" si="112"/>
        <v>0</v>
      </c>
      <c r="Q340" s="177"/>
      <c r="T340" s="130"/>
    </row>
    <row r="341" spans="1:20" ht="12.75">
      <c r="A341" s="179" t="s">
        <v>352</v>
      </c>
      <c r="B341" s="180" t="s">
        <v>353</v>
      </c>
      <c r="C341" s="178">
        <v>0</v>
      </c>
      <c r="D341" s="178">
        <v>0</v>
      </c>
      <c r="E341" s="178">
        <v>0</v>
      </c>
      <c r="F341" s="178">
        <v>0</v>
      </c>
      <c r="G341" s="178">
        <v>0</v>
      </c>
      <c r="H341" s="178">
        <v>0</v>
      </c>
      <c r="I341" s="178">
        <v>0</v>
      </c>
      <c r="J341" s="178">
        <v>0</v>
      </c>
      <c r="K341" s="178">
        <v>0</v>
      </c>
      <c r="L341" s="178">
        <v>0</v>
      </c>
      <c r="M341" s="178">
        <v>0</v>
      </c>
      <c r="N341" s="178">
        <v>0</v>
      </c>
      <c r="O341" s="178"/>
      <c r="P341" s="176">
        <f t="shared" si="112"/>
        <v>0</v>
      </c>
      <c r="Q341" s="177"/>
      <c r="T341" s="130"/>
    </row>
    <row r="342" spans="1:20" ht="12.75">
      <c r="A342" s="179" t="s">
        <v>354</v>
      </c>
      <c r="B342" s="180" t="s">
        <v>355</v>
      </c>
      <c r="C342" s="178">
        <v>0</v>
      </c>
      <c r="D342" s="178">
        <v>0</v>
      </c>
      <c r="E342" s="178">
        <v>0</v>
      </c>
      <c r="F342" s="178">
        <v>0</v>
      </c>
      <c r="G342" s="178">
        <v>0</v>
      </c>
      <c r="H342" s="178">
        <v>0</v>
      </c>
      <c r="I342" s="178">
        <v>0</v>
      </c>
      <c r="J342" s="178">
        <v>0</v>
      </c>
      <c r="K342" s="178">
        <v>0</v>
      </c>
      <c r="L342" s="178">
        <v>0</v>
      </c>
      <c r="M342" s="178">
        <v>0</v>
      </c>
      <c r="N342" s="178">
        <v>0</v>
      </c>
      <c r="O342" s="178"/>
      <c r="P342" s="176">
        <f>SUM(C342:O342)</f>
        <v>0</v>
      </c>
      <c r="Q342" s="177"/>
      <c r="T342" s="130"/>
    </row>
    <row r="343" spans="1:20" ht="12.75">
      <c r="A343" s="164" t="s">
        <v>539</v>
      </c>
      <c r="B343" s="180" t="s">
        <v>540</v>
      </c>
      <c r="C343" s="178">
        <v>0</v>
      </c>
      <c r="D343" s="178">
        <v>0</v>
      </c>
      <c r="E343" s="178">
        <v>0</v>
      </c>
      <c r="F343" s="178">
        <v>0</v>
      </c>
      <c r="G343" s="178">
        <v>0</v>
      </c>
      <c r="H343" s="178">
        <v>0</v>
      </c>
      <c r="I343" s="178">
        <v>0</v>
      </c>
      <c r="J343" s="178">
        <v>0</v>
      </c>
      <c r="K343" s="178">
        <v>0</v>
      </c>
      <c r="L343" s="178">
        <v>0</v>
      </c>
      <c r="M343" s="178">
        <v>1400</v>
      </c>
      <c r="N343" s="121">
        <v>-1400</v>
      </c>
      <c r="O343" s="178"/>
      <c r="P343" s="176">
        <f t="shared" si="112"/>
        <v>0</v>
      </c>
      <c r="Q343" s="177"/>
      <c r="T343" s="130"/>
    </row>
    <row r="344" spans="1:20" ht="12.75">
      <c r="A344" s="179"/>
      <c r="B344" s="174" t="s">
        <v>171</v>
      </c>
      <c r="C344" s="175">
        <f aca="true" t="shared" si="113" ref="C344:P344">SUM(C345:C380)</f>
        <v>111976.15</v>
      </c>
      <c r="D344" s="175">
        <f t="shared" si="113"/>
        <v>112743.52</v>
      </c>
      <c r="E344" s="175">
        <f t="shared" si="113"/>
        <v>213844.58000000002</v>
      </c>
      <c r="F344" s="175">
        <f t="shared" si="113"/>
        <v>140228.84999999998</v>
      </c>
      <c r="G344" s="175">
        <f t="shared" si="113"/>
        <v>183585.49000000002</v>
      </c>
      <c r="H344" s="175">
        <f t="shared" si="113"/>
        <v>154697.93999999997</v>
      </c>
      <c r="I344" s="175">
        <f t="shared" si="113"/>
        <v>260084.78000000003</v>
      </c>
      <c r="J344" s="175">
        <f t="shared" si="113"/>
        <v>620801.33</v>
      </c>
      <c r="K344" s="175">
        <f t="shared" si="113"/>
        <v>321738.2700000001</v>
      </c>
      <c r="L344" s="175">
        <f t="shared" si="113"/>
        <v>339191.77</v>
      </c>
      <c r="M344" s="175">
        <f t="shared" si="113"/>
        <v>437249.47</v>
      </c>
      <c r="N344" s="175">
        <f t="shared" si="113"/>
        <v>561040.79</v>
      </c>
      <c r="O344" s="175">
        <f t="shared" si="113"/>
        <v>2395908.92</v>
      </c>
      <c r="P344" s="175">
        <f t="shared" si="113"/>
        <v>5853091.859999999</v>
      </c>
      <c r="Q344" s="177"/>
      <c r="T344" s="130"/>
    </row>
    <row r="345" spans="1:20" ht="12.75">
      <c r="A345" s="179" t="s">
        <v>356</v>
      </c>
      <c r="B345" s="180" t="s">
        <v>357</v>
      </c>
      <c r="C345" s="178">
        <v>0</v>
      </c>
      <c r="D345" s="178">
        <v>0</v>
      </c>
      <c r="E345" s="178">
        <v>11208</v>
      </c>
      <c r="F345" s="178">
        <v>15706.04</v>
      </c>
      <c r="G345" s="178">
        <v>3240</v>
      </c>
      <c r="H345" s="178">
        <v>0</v>
      </c>
      <c r="I345" s="178">
        <v>0</v>
      </c>
      <c r="J345" s="178">
        <v>6608.9</v>
      </c>
      <c r="K345" s="178">
        <v>0</v>
      </c>
      <c r="L345" s="178">
        <v>2068.75</v>
      </c>
      <c r="M345" s="178">
        <v>730.45</v>
      </c>
      <c r="N345" s="178">
        <f>13455.9-O345</f>
        <v>5059.449999999999</v>
      </c>
      <c r="O345" s="178">
        <f>6291+1375+730.45</f>
        <v>8396.45</v>
      </c>
      <c r="P345" s="176">
        <f aca="true" t="shared" si="114" ref="P345:P384">SUM(C345:O345)</f>
        <v>53018.03999999999</v>
      </c>
      <c r="Q345" s="177"/>
      <c r="T345" s="130"/>
    </row>
    <row r="346" spans="1:20" ht="12.75">
      <c r="A346" s="179" t="s">
        <v>358</v>
      </c>
      <c r="B346" s="180" t="s">
        <v>359</v>
      </c>
      <c r="C346" s="178">
        <v>0</v>
      </c>
      <c r="D346" s="178">
        <v>0</v>
      </c>
      <c r="E346" s="178">
        <v>0</v>
      </c>
      <c r="F346" s="178">
        <v>0</v>
      </c>
      <c r="G346" s="178">
        <v>0</v>
      </c>
      <c r="H346" s="178">
        <v>0</v>
      </c>
      <c r="I346" s="178">
        <v>0</v>
      </c>
      <c r="J346" s="178">
        <v>0</v>
      </c>
      <c r="K346" s="178">
        <v>0</v>
      </c>
      <c r="L346" s="178">
        <v>0</v>
      </c>
      <c r="M346" s="178">
        <v>0</v>
      </c>
      <c r="N346" s="178">
        <v>0</v>
      </c>
      <c r="O346" s="178"/>
      <c r="P346" s="176">
        <f t="shared" si="114"/>
        <v>0</v>
      </c>
      <c r="Q346" s="177"/>
      <c r="T346" s="130"/>
    </row>
    <row r="347" spans="1:20" ht="12.75">
      <c r="A347" s="179" t="s">
        <v>342</v>
      </c>
      <c r="B347" s="180" t="s">
        <v>360</v>
      </c>
      <c r="C347" s="178">
        <v>0</v>
      </c>
      <c r="D347" s="178">
        <v>8463.89</v>
      </c>
      <c r="E347" s="178">
        <v>7916.66</v>
      </c>
      <c r="F347" s="178">
        <v>7916.66</v>
      </c>
      <c r="G347" s="178">
        <v>7916.66</v>
      </c>
      <c r="H347" s="178">
        <v>16719.26</v>
      </c>
      <c r="I347" s="178">
        <v>39454.93</v>
      </c>
      <c r="J347" s="178">
        <v>32786.84</v>
      </c>
      <c r="K347" s="178">
        <v>40779.46</v>
      </c>
      <c r="L347" s="178">
        <v>36820.58</v>
      </c>
      <c r="M347" s="178">
        <v>166214.22</v>
      </c>
      <c r="N347" s="178">
        <f>573623.83-O347</f>
        <v>285039.38999999996</v>
      </c>
      <c r="O347" s="178">
        <f>3400+240936.13+44248.31</f>
        <v>288584.44</v>
      </c>
      <c r="P347" s="176">
        <f t="shared" si="114"/>
        <v>938612.99</v>
      </c>
      <c r="Q347" s="177"/>
      <c r="T347" s="130"/>
    </row>
    <row r="348" spans="1:20" ht="12.75">
      <c r="A348" s="179" t="s">
        <v>361</v>
      </c>
      <c r="B348" s="180" t="s">
        <v>362</v>
      </c>
      <c r="C348" s="178">
        <v>0</v>
      </c>
      <c r="D348" s="178">
        <v>11658.3</v>
      </c>
      <c r="E348" s="178">
        <v>11658.3</v>
      </c>
      <c r="F348" s="178">
        <v>0</v>
      </c>
      <c r="G348" s="178">
        <v>11995.8</v>
      </c>
      <c r="H348" s="178">
        <v>11658.3</v>
      </c>
      <c r="I348" s="178">
        <v>23316.6</v>
      </c>
      <c r="J348" s="178">
        <v>12133.3</v>
      </c>
      <c r="K348" s="178">
        <v>8735.66</v>
      </c>
      <c r="L348" s="178">
        <v>25225.7</v>
      </c>
      <c r="M348" s="178">
        <v>13714.68</v>
      </c>
      <c r="N348" s="178">
        <f>28659.2-O348</f>
        <v>1491.6000000000022</v>
      </c>
      <c r="O348" s="178">
        <f>23316.6+475+3376</f>
        <v>27167.6</v>
      </c>
      <c r="P348" s="176">
        <f t="shared" si="114"/>
        <v>158755.84</v>
      </c>
      <c r="Q348" s="177"/>
      <c r="T348" s="130"/>
    </row>
    <row r="349" spans="1:20" ht="12.75">
      <c r="A349" s="179" t="s">
        <v>346</v>
      </c>
      <c r="B349" s="180" t="s">
        <v>363</v>
      </c>
      <c r="C349" s="178">
        <v>0</v>
      </c>
      <c r="D349" s="178">
        <v>0</v>
      </c>
      <c r="E349" s="178">
        <v>0</v>
      </c>
      <c r="F349" s="178">
        <v>0</v>
      </c>
      <c r="G349" s="178">
        <v>0</v>
      </c>
      <c r="H349" s="178">
        <v>0</v>
      </c>
      <c r="I349" s="178">
        <v>0</v>
      </c>
      <c r="J349" s="178">
        <v>0</v>
      </c>
      <c r="K349" s="178">
        <v>0</v>
      </c>
      <c r="L349" s="178">
        <v>0</v>
      </c>
      <c r="M349" s="178">
        <v>0</v>
      </c>
      <c r="N349" s="178">
        <v>0</v>
      </c>
      <c r="O349" s="178"/>
      <c r="P349" s="176">
        <f t="shared" si="114"/>
        <v>0</v>
      </c>
      <c r="Q349" s="177"/>
      <c r="T349" s="130"/>
    </row>
    <row r="350" spans="1:20" ht="12.75">
      <c r="A350" s="179" t="s">
        <v>364</v>
      </c>
      <c r="B350" s="180" t="s">
        <v>365</v>
      </c>
      <c r="C350" s="178">
        <v>0</v>
      </c>
      <c r="D350" s="178">
        <v>0</v>
      </c>
      <c r="E350" s="178">
        <v>0</v>
      </c>
      <c r="F350" s="178">
        <v>0</v>
      </c>
      <c r="G350" s="178">
        <v>884.6</v>
      </c>
      <c r="H350" s="178">
        <v>0</v>
      </c>
      <c r="I350" s="178">
        <v>0</v>
      </c>
      <c r="J350" s="178">
        <v>84</v>
      </c>
      <c r="K350" s="178">
        <v>0</v>
      </c>
      <c r="L350" s="178">
        <v>0</v>
      </c>
      <c r="M350" s="178">
        <v>0</v>
      </c>
      <c r="N350" s="178">
        <f>1769.2-O350</f>
        <v>0</v>
      </c>
      <c r="O350" s="178">
        <v>1769.2</v>
      </c>
      <c r="P350" s="176">
        <f t="shared" si="114"/>
        <v>2737.8</v>
      </c>
      <c r="Q350" s="177"/>
      <c r="T350" s="130"/>
    </row>
    <row r="351" spans="1:20" ht="12.75">
      <c r="A351" s="179" t="s">
        <v>366</v>
      </c>
      <c r="B351" s="180" t="s">
        <v>367</v>
      </c>
      <c r="C351" s="178">
        <v>0</v>
      </c>
      <c r="D351" s="178">
        <v>0</v>
      </c>
      <c r="E351" s="178">
        <v>0</v>
      </c>
      <c r="F351" s="178">
        <v>0</v>
      </c>
      <c r="G351" s="178">
        <v>0</v>
      </c>
      <c r="H351" s="178">
        <v>0</v>
      </c>
      <c r="I351" s="178">
        <v>0</v>
      </c>
      <c r="J351" s="178">
        <v>375536.87</v>
      </c>
      <c r="K351" s="178">
        <v>0</v>
      </c>
      <c r="L351" s="178">
        <v>0</v>
      </c>
      <c r="M351" s="178">
        <v>0</v>
      </c>
      <c r="N351" s="178">
        <v>0</v>
      </c>
      <c r="O351" s="178"/>
      <c r="P351" s="176">
        <f t="shared" si="114"/>
        <v>375536.87</v>
      </c>
      <c r="Q351" s="177"/>
      <c r="T351" s="130"/>
    </row>
    <row r="352" spans="1:20" ht="12.75">
      <c r="A352" s="179" t="s">
        <v>348</v>
      </c>
      <c r="B352" s="180" t="s">
        <v>368</v>
      </c>
      <c r="C352" s="178">
        <v>3560.85</v>
      </c>
      <c r="D352" s="178">
        <v>20460.47</v>
      </c>
      <c r="E352" s="178">
        <v>38296.08</v>
      </c>
      <c r="F352" s="178">
        <v>21466.9</v>
      </c>
      <c r="G352" s="178">
        <v>42497.23</v>
      </c>
      <c r="H352" s="178">
        <v>24201.9</v>
      </c>
      <c r="I352" s="178">
        <v>113050.02</v>
      </c>
      <c r="J352" s="178">
        <v>25239.33</v>
      </c>
      <c r="K352" s="178">
        <v>28314.5</v>
      </c>
      <c r="L352" s="178">
        <v>94634.82</v>
      </c>
      <c r="M352" s="178">
        <v>99373.43</v>
      </c>
      <c r="N352" s="178">
        <f>1852627.6-O352</f>
        <v>177186.26000000024</v>
      </c>
      <c r="O352" s="178">
        <f>17299.54+628453.96+1029687.84</f>
        <v>1675441.3399999999</v>
      </c>
      <c r="P352" s="176">
        <f t="shared" si="114"/>
        <v>2363723.13</v>
      </c>
      <c r="Q352" s="177"/>
      <c r="T352" s="130"/>
    </row>
    <row r="353" spans="1:20" ht="12.75">
      <c r="A353" s="179" t="s">
        <v>369</v>
      </c>
      <c r="B353" s="180" t="s">
        <v>370</v>
      </c>
      <c r="C353" s="178">
        <v>17957.53</v>
      </c>
      <c r="D353" s="178">
        <v>45944.19</v>
      </c>
      <c r="E353" s="178">
        <v>87994.62</v>
      </c>
      <c r="F353" s="178">
        <v>88964.22</v>
      </c>
      <c r="G353" s="178">
        <v>119761.47</v>
      </c>
      <c r="H353" s="178">
        <v>86800.07</v>
      </c>
      <c r="I353" s="178">
        <v>65141.04</v>
      </c>
      <c r="J353" s="178">
        <v>115604.37</v>
      </c>
      <c r="K353" s="178">
        <v>116454.86</v>
      </c>
      <c r="L353" s="178">
        <v>108113.57</v>
      </c>
      <c r="M353" s="178">
        <v>119702.54</v>
      </c>
      <c r="N353" s="178">
        <f>256335.27-O353</f>
        <v>113401.01999999999</v>
      </c>
      <c r="O353" s="178">
        <f>105882.26+37051.99</f>
        <v>142934.25</v>
      </c>
      <c r="P353" s="176">
        <f t="shared" si="114"/>
        <v>1228773.75</v>
      </c>
      <c r="Q353" s="177"/>
      <c r="T353" s="130"/>
    </row>
    <row r="354" spans="1:20" ht="12.75">
      <c r="A354" s="179" t="s">
        <v>371</v>
      </c>
      <c r="B354" s="180" t="s">
        <v>372</v>
      </c>
      <c r="C354" s="178">
        <v>0</v>
      </c>
      <c r="D354" s="178">
        <v>0</v>
      </c>
      <c r="E354" s="178">
        <v>0</v>
      </c>
      <c r="F354" s="178">
        <v>3794.24</v>
      </c>
      <c r="G354" s="178">
        <v>5039</v>
      </c>
      <c r="H354" s="178">
        <v>4177.1</v>
      </c>
      <c r="I354" s="178">
        <v>4177.45</v>
      </c>
      <c r="J354" s="178">
        <v>785.27</v>
      </c>
      <c r="K354" s="178">
        <v>2222.67</v>
      </c>
      <c r="L354" s="178">
        <v>1143.95</v>
      </c>
      <c r="M354" s="178">
        <v>4497.56</v>
      </c>
      <c r="N354" s="178">
        <f>7239.3-O354</f>
        <v>4991</v>
      </c>
      <c r="O354" s="178">
        <v>2248.3</v>
      </c>
      <c r="P354" s="176">
        <f t="shared" si="114"/>
        <v>33076.54000000001</v>
      </c>
      <c r="Q354" s="177"/>
      <c r="T354" s="130"/>
    </row>
    <row r="355" spans="1:20" ht="12.75">
      <c r="A355" s="179" t="s">
        <v>373</v>
      </c>
      <c r="B355" s="180" t="s">
        <v>374</v>
      </c>
      <c r="C355" s="178">
        <v>0</v>
      </c>
      <c r="D355" s="178">
        <v>0</v>
      </c>
      <c r="E355" s="178">
        <v>0</v>
      </c>
      <c r="F355" s="178">
        <v>0</v>
      </c>
      <c r="G355" s="178">
        <v>2432.4</v>
      </c>
      <c r="H355" s="178">
        <v>0</v>
      </c>
      <c r="I355" s="178">
        <v>3000</v>
      </c>
      <c r="J355" s="178">
        <v>6310.3</v>
      </c>
      <c r="K355" s="178">
        <v>1518</v>
      </c>
      <c r="L355" s="178">
        <v>2700</v>
      </c>
      <c r="M355" s="178">
        <v>1856</v>
      </c>
      <c r="N355" s="178">
        <f>1444-O355</f>
        <v>494</v>
      </c>
      <c r="O355" s="178">
        <v>950</v>
      </c>
      <c r="P355" s="176">
        <f t="shared" si="114"/>
        <v>19260.7</v>
      </c>
      <c r="Q355" s="177"/>
      <c r="T355" s="130"/>
    </row>
    <row r="356" spans="1:20" ht="12.75">
      <c r="A356" s="179" t="s">
        <v>375</v>
      </c>
      <c r="B356" s="180" t="s">
        <v>376</v>
      </c>
      <c r="C356" s="178">
        <v>0</v>
      </c>
      <c r="D356" s="178">
        <v>0</v>
      </c>
      <c r="E356" s="178">
        <v>0</v>
      </c>
      <c r="F356" s="178">
        <v>0</v>
      </c>
      <c r="G356" s="178">
        <v>0</v>
      </c>
      <c r="H356" s="178">
        <v>0</v>
      </c>
      <c r="I356" s="178">
        <v>0</v>
      </c>
      <c r="J356" s="178">
        <v>0</v>
      </c>
      <c r="K356" s="178">
        <v>0</v>
      </c>
      <c r="L356" s="178">
        <v>0</v>
      </c>
      <c r="M356" s="178">
        <v>0</v>
      </c>
      <c r="N356" s="121">
        <v>0</v>
      </c>
      <c r="O356" s="178"/>
      <c r="P356" s="176">
        <f t="shared" si="114"/>
        <v>0</v>
      </c>
      <c r="Q356" s="177"/>
      <c r="T356" s="130"/>
    </row>
    <row r="357" spans="1:20" ht="12.75">
      <c r="A357" s="179" t="s">
        <v>377</v>
      </c>
      <c r="B357" s="180" t="s">
        <v>378</v>
      </c>
      <c r="C357" s="178">
        <v>0</v>
      </c>
      <c r="D357" s="178">
        <v>0</v>
      </c>
      <c r="E357" s="178">
        <v>0</v>
      </c>
      <c r="F357" s="178">
        <v>0</v>
      </c>
      <c r="G357" s="178">
        <v>0</v>
      </c>
      <c r="H357" s="178">
        <v>0</v>
      </c>
      <c r="I357" s="178">
        <v>0</v>
      </c>
      <c r="J357" s="178">
        <v>0</v>
      </c>
      <c r="K357" s="178">
        <v>0</v>
      </c>
      <c r="L357" s="178">
        <v>0</v>
      </c>
      <c r="M357" s="178">
        <v>0</v>
      </c>
      <c r="N357" s="178">
        <v>0</v>
      </c>
      <c r="O357" s="178"/>
      <c r="P357" s="176">
        <f t="shared" si="114"/>
        <v>0</v>
      </c>
      <c r="Q357" s="177"/>
      <c r="T357" s="130"/>
    </row>
    <row r="358" spans="1:20" ht="12.75">
      <c r="A358" s="179" t="s">
        <v>379</v>
      </c>
      <c r="B358" s="180" t="s">
        <v>380</v>
      </c>
      <c r="C358" s="178">
        <v>0</v>
      </c>
      <c r="D358" s="178">
        <v>0</v>
      </c>
      <c r="E358" s="178">
        <v>0</v>
      </c>
      <c r="F358" s="178">
        <v>0</v>
      </c>
      <c r="G358" s="178">
        <v>0</v>
      </c>
      <c r="H358" s="178">
        <v>0</v>
      </c>
      <c r="I358" s="178">
        <v>0</v>
      </c>
      <c r="J358" s="178">
        <v>0</v>
      </c>
      <c r="K358" s="178">
        <v>0</v>
      </c>
      <c r="L358" s="178">
        <v>0</v>
      </c>
      <c r="M358" s="178">
        <v>0</v>
      </c>
      <c r="N358" s="178">
        <v>0</v>
      </c>
      <c r="O358" s="178"/>
      <c r="P358" s="176">
        <f t="shared" si="114"/>
        <v>0</v>
      </c>
      <c r="Q358" s="177"/>
      <c r="T358" s="130"/>
    </row>
    <row r="359" spans="1:20" ht="12.75">
      <c r="A359" s="179" t="s">
        <v>379</v>
      </c>
      <c r="B359" s="180" t="s">
        <v>381</v>
      </c>
      <c r="C359" s="178">
        <v>0</v>
      </c>
      <c r="D359" s="178">
        <v>0</v>
      </c>
      <c r="E359" s="178">
        <v>0</v>
      </c>
      <c r="F359" s="178">
        <v>0</v>
      </c>
      <c r="G359" s="178">
        <v>0</v>
      </c>
      <c r="H359" s="178">
        <v>0</v>
      </c>
      <c r="I359" s="178">
        <v>0</v>
      </c>
      <c r="J359" s="178">
        <v>0</v>
      </c>
      <c r="K359" s="178">
        <v>0</v>
      </c>
      <c r="L359" s="178">
        <v>0</v>
      </c>
      <c r="M359" s="178">
        <v>0</v>
      </c>
      <c r="N359" s="178">
        <v>0</v>
      </c>
      <c r="O359" s="178"/>
      <c r="P359" s="176">
        <f t="shared" si="114"/>
        <v>0</v>
      </c>
      <c r="Q359" s="177"/>
      <c r="T359" s="130"/>
    </row>
    <row r="360" spans="1:20" ht="12.75">
      <c r="A360" s="179" t="s">
        <v>382</v>
      </c>
      <c r="B360" s="180" t="s">
        <v>383</v>
      </c>
      <c r="C360" s="178">
        <v>157.58</v>
      </c>
      <c r="D360" s="178">
        <v>801.83</v>
      </c>
      <c r="E360" s="178">
        <v>3146.56</v>
      </c>
      <c r="F360" s="178">
        <v>1788.36</v>
      </c>
      <c r="G360" s="178">
        <v>4619.92</v>
      </c>
      <c r="H360" s="178">
        <v>1423.33</v>
      </c>
      <c r="I360" s="178">
        <v>2493.5</v>
      </c>
      <c r="J360" s="178">
        <v>3578.7</v>
      </c>
      <c r="K360" s="178">
        <v>2973.57</v>
      </c>
      <c r="L360" s="178">
        <v>2760.58</v>
      </c>
      <c r="M360" s="178">
        <v>3818.67</v>
      </c>
      <c r="N360" s="178">
        <f>3875.11-O360</f>
        <v>2990.59</v>
      </c>
      <c r="O360" s="178">
        <f>500+384.52</f>
        <v>884.52</v>
      </c>
      <c r="P360" s="176">
        <f t="shared" si="114"/>
        <v>31437.71</v>
      </c>
      <c r="Q360" s="177"/>
      <c r="T360" s="130"/>
    </row>
    <row r="361" spans="1:20" ht="12.75">
      <c r="A361" s="179" t="s">
        <v>384</v>
      </c>
      <c r="B361" s="180" t="s">
        <v>385</v>
      </c>
      <c r="C361" s="178">
        <v>0</v>
      </c>
      <c r="D361" s="178">
        <v>0</v>
      </c>
      <c r="E361" s="178">
        <v>0</v>
      </c>
      <c r="F361" s="178">
        <v>0</v>
      </c>
      <c r="G361" s="178">
        <v>0</v>
      </c>
      <c r="H361" s="178">
        <v>0</v>
      </c>
      <c r="I361" s="178">
        <v>0</v>
      </c>
      <c r="J361" s="178">
        <v>0</v>
      </c>
      <c r="K361" s="178">
        <v>0</v>
      </c>
      <c r="L361" s="178">
        <v>0</v>
      </c>
      <c r="M361" s="178">
        <v>0</v>
      </c>
      <c r="N361" s="178">
        <v>0</v>
      </c>
      <c r="O361" s="178"/>
      <c r="P361" s="176">
        <f t="shared" si="114"/>
        <v>0</v>
      </c>
      <c r="Q361" s="177"/>
      <c r="T361" s="130"/>
    </row>
    <row r="362" spans="1:20" ht="12.75">
      <c r="A362" s="179" t="s">
        <v>386</v>
      </c>
      <c r="B362" s="180" t="s">
        <v>387</v>
      </c>
      <c r="C362" s="178">
        <v>0</v>
      </c>
      <c r="D362" s="178">
        <v>0</v>
      </c>
      <c r="E362" s="178">
        <v>0</v>
      </c>
      <c r="F362" s="178">
        <v>0</v>
      </c>
      <c r="G362" s="178">
        <v>0</v>
      </c>
      <c r="H362" s="178">
        <v>0</v>
      </c>
      <c r="I362" s="178">
        <v>0</v>
      </c>
      <c r="J362" s="178">
        <v>0</v>
      </c>
      <c r="K362" s="178">
        <v>0</v>
      </c>
      <c r="L362" s="178">
        <v>0</v>
      </c>
      <c r="M362" s="178">
        <v>0</v>
      </c>
      <c r="N362" s="178">
        <v>0</v>
      </c>
      <c r="O362" s="178"/>
      <c r="P362" s="176">
        <f t="shared" si="114"/>
        <v>0</v>
      </c>
      <c r="Q362" s="177"/>
      <c r="T362" s="130"/>
    </row>
    <row r="363" spans="1:20" ht="12.75">
      <c r="A363" s="179" t="s">
        <v>388</v>
      </c>
      <c r="B363" s="180" t="s">
        <v>389</v>
      </c>
      <c r="C363" s="178">
        <v>0</v>
      </c>
      <c r="D363" s="178">
        <v>0</v>
      </c>
      <c r="E363" s="178">
        <v>4202.56</v>
      </c>
      <c r="F363" s="178">
        <v>0</v>
      </c>
      <c r="G363" s="178">
        <v>4654.89</v>
      </c>
      <c r="H363" s="178">
        <v>464.4</v>
      </c>
      <c r="I363" s="178">
        <v>99.95</v>
      </c>
      <c r="J363" s="178">
        <v>5322.19</v>
      </c>
      <c r="K363" s="178">
        <v>4104.21</v>
      </c>
      <c r="L363" s="178">
        <v>1.05</v>
      </c>
      <c r="M363" s="178">
        <v>695</v>
      </c>
      <c r="N363" s="178">
        <v>0</v>
      </c>
      <c r="O363" s="178"/>
      <c r="P363" s="176">
        <f t="shared" si="114"/>
        <v>19544.25</v>
      </c>
      <c r="Q363" s="177"/>
      <c r="T363" s="130"/>
    </row>
    <row r="364" spans="1:20" ht="12.75">
      <c r="A364" s="179" t="s">
        <v>390</v>
      </c>
      <c r="B364" s="180" t="s">
        <v>391</v>
      </c>
      <c r="C364" s="178">
        <v>0.19</v>
      </c>
      <c r="D364" s="178">
        <v>0</v>
      </c>
      <c r="E364" s="178">
        <v>70.3</v>
      </c>
      <c r="F364" s="178">
        <v>631.17</v>
      </c>
      <c r="G364" s="178">
        <v>103.75</v>
      </c>
      <c r="H364" s="178">
        <v>1155.46</v>
      </c>
      <c r="I364" s="178">
        <v>22.7</v>
      </c>
      <c r="J364" s="178">
        <v>815.5</v>
      </c>
      <c r="K364" s="178">
        <v>0.2</v>
      </c>
      <c r="L364" s="178">
        <v>55.64</v>
      </c>
      <c r="M364" s="178">
        <v>0.45</v>
      </c>
      <c r="N364" s="178">
        <v>0</v>
      </c>
      <c r="O364" s="178"/>
      <c r="P364" s="176">
        <f t="shared" si="114"/>
        <v>2855.359999999999</v>
      </c>
      <c r="Q364" s="177"/>
      <c r="T364" s="130"/>
    </row>
    <row r="365" spans="1:20" ht="12.75">
      <c r="A365" s="179" t="s">
        <v>392</v>
      </c>
      <c r="B365" s="180" t="s">
        <v>393</v>
      </c>
      <c r="C365" s="178">
        <v>0</v>
      </c>
      <c r="D365" s="178">
        <v>0</v>
      </c>
      <c r="E365" s="178">
        <v>0</v>
      </c>
      <c r="F365" s="178">
        <v>0</v>
      </c>
      <c r="G365" s="178">
        <v>149.06</v>
      </c>
      <c r="H365" s="178">
        <v>0</v>
      </c>
      <c r="I365" s="178">
        <v>0</v>
      </c>
      <c r="J365" s="178">
        <v>0</v>
      </c>
      <c r="K365" s="178">
        <v>339.65</v>
      </c>
      <c r="L365" s="178">
        <v>0</v>
      </c>
      <c r="M365" s="178">
        <v>0</v>
      </c>
      <c r="N365" s="178">
        <v>1487.37</v>
      </c>
      <c r="O365" s="178"/>
      <c r="P365" s="176">
        <f t="shared" si="114"/>
        <v>1976.08</v>
      </c>
      <c r="Q365" s="177"/>
      <c r="T365" s="130"/>
    </row>
    <row r="366" spans="1:20" ht="12.75">
      <c r="A366" s="179" t="s">
        <v>394</v>
      </c>
      <c r="B366" s="180" t="s">
        <v>395</v>
      </c>
      <c r="C366" s="178">
        <v>0</v>
      </c>
      <c r="D366" s="178">
        <v>0</v>
      </c>
      <c r="E366" s="178">
        <v>0</v>
      </c>
      <c r="F366" s="178">
        <v>0</v>
      </c>
      <c r="G366" s="178">
        <v>0</v>
      </c>
      <c r="H366" s="178">
        <v>0</v>
      </c>
      <c r="I366" s="178">
        <v>0</v>
      </c>
      <c r="J366" s="178">
        <v>0</v>
      </c>
      <c r="K366" s="178">
        <v>0</v>
      </c>
      <c r="L366" s="178">
        <v>0</v>
      </c>
      <c r="M366" s="178">
        <v>0</v>
      </c>
      <c r="N366" s="178">
        <v>0</v>
      </c>
      <c r="O366" s="178"/>
      <c r="P366" s="176">
        <f t="shared" si="114"/>
        <v>0</v>
      </c>
      <c r="Q366" s="177"/>
      <c r="T366" s="130"/>
    </row>
    <row r="367" spans="1:20" ht="12.75">
      <c r="A367" s="179" t="s">
        <v>396</v>
      </c>
      <c r="B367" s="180" t="s">
        <v>397</v>
      </c>
      <c r="C367" s="178">
        <v>0</v>
      </c>
      <c r="D367" s="178">
        <v>0</v>
      </c>
      <c r="E367" s="178">
        <v>0</v>
      </c>
      <c r="F367" s="178">
        <v>0</v>
      </c>
      <c r="G367" s="178">
        <v>0</v>
      </c>
      <c r="H367" s="178">
        <v>0</v>
      </c>
      <c r="I367" s="178">
        <v>0</v>
      </c>
      <c r="J367" s="178">
        <v>0</v>
      </c>
      <c r="K367" s="178">
        <v>0</v>
      </c>
      <c r="L367" s="178">
        <v>0</v>
      </c>
      <c r="M367" s="178">
        <v>0</v>
      </c>
      <c r="N367" s="178">
        <v>0</v>
      </c>
      <c r="O367" s="178"/>
      <c r="P367" s="176">
        <f t="shared" si="114"/>
        <v>0</v>
      </c>
      <c r="Q367" s="177"/>
      <c r="T367" s="130"/>
    </row>
    <row r="368" spans="1:20" ht="12.75">
      <c r="A368" s="179" t="s">
        <v>398</v>
      </c>
      <c r="B368" s="180" t="s">
        <v>399</v>
      </c>
      <c r="C368" s="178">
        <v>0</v>
      </c>
      <c r="D368" s="178">
        <v>0</v>
      </c>
      <c r="E368" s="178">
        <v>0</v>
      </c>
      <c r="F368" s="178">
        <v>0</v>
      </c>
      <c r="G368" s="178">
        <v>0</v>
      </c>
      <c r="H368" s="178">
        <v>0</v>
      </c>
      <c r="I368" s="178">
        <v>0</v>
      </c>
      <c r="J368" s="178">
        <v>0</v>
      </c>
      <c r="K368" s="178">
        <v>0</v>
      </c>
      <c r="L368" s="178">
        <v>40280</v>
      </c>
      <c r="M368" s="178">
        <v>0</v>
      </c>
      <c r="N368" s="178">
        <f>40280-O368</f>
        <v>0</v>
      </c>
      <c r="O368" s="178">
        <v>40280</v>
      </c>
      <c r="P368" s="176">
        <f t="shared" si="114"/>
        <v>80560</v>
      </c>
      <c r="Q368" s="177"/>
      <c r="T368" s="130"/>
    </row>
    <row r="369" spans="1:20" ht="12.75">
      <c r="A369" s="179" t="s">
        <v>354</v>
      </c>
      <c r="B369" s="180" t="s">
        <v>400</v>
      </c>
      <c r="C369" s="178">
        <v>0</v>
      </c>
      <c r="D369" s="178">
        <v>0</v>
      </c>
      <c r="E369" s="178">
        <v>0</v>
      </c>
      <c r="F369" s="178">
        <v>0</v>
      </c>
      <c r="G369" s="178">
        <v>645</v>
      </c>
      <c r="H369" s="178">
        <v>0</v>
      </c>
      <c r="I369" s="178">
        <v>0</v>
      </c>
      <c r="J369" s="178">
        <v>43000</v>
      </c>
      <c r="K369" s="178">
        <v>82207.99</v>
      </c>
      <c r="L369" s="178">
        <v>20418.12</v>
      </c>
      <c r="M369" s="178">
        <v>14534.85</v>
      </c>
      <c r="N369" s="178">
        <f>182744.8-O369</f>
        <v>20225.699999999983</v>
      </c>
      <c r="O369" s="178">
        <f>2920.85+35678.89+123919.36</f>
        <v>162519.1</v>
      </c>
      <c r="P369" s="176">
        <f t="shared" si="114"/>
        <v>343550.76</v>
      </c>
      <c r="Q369" s="177"/>
      <c r="T369" s="130"/>
    </row>
    <row r="370" spans="1:20" ht="12.75">
      <c r="A370" s="179" t="s">
        <v>401</v>
      </c>
      <c r="B370" s="180" t="s">
        <v>402</v>
      </c>
      <c r="C370" s="178">
        <v>0</v>
      </c>
      <c r="D370" s="178">
        <v>0</v>
      </c>
      <c r="E370" s="178">
        <v>0</v>
      </c>
      <c r="F370" s="178">
        <v>0</v>
      </c>
      <c r="G370" s="178">
        <v>0</v>
      </c>
      <c r="H370" s="178">
        <v>0</v>
      </c>
      <c r="I370" s="178">
        <v>0</v>
      </c>
      <c r="J370" s="178">
        <v>0</v>
      </c>
      <c r="K370" s="178">
        <v>0</v>
      </c>
      <c r="L370" s="178">
        <v>0</v>
      </c>
      <c r="M370" s="178">
        <v>0</v>
      </c>
      <c r="N370" s="178">
        <v>0</v>
      </c>
      <c r="O370" s="178"/>
      <c r="P370" s="176">
        <f t="shared" si="114"/>
        <v>0</v>
      </c>
      <c r="Q370" s="177"/>
      <c r="T370" s="130"/>
    </row>
    <row r="371" spans="1:20" ht="12.75">
      <c r="A371" s="179" t="s">
        <v>403</v>
      </c>
      <c r="B371" s="180" t="s">
        <v>404</v>
      </c>
      <c r="C371" s="178">
        <v>0</v>
      </c>
      <c r="D371" s="178">
        <v>0</v>
      </c>
      <c r="E371" s="178">
        <v>0</v>
      </c>
      <c r="F371" s="178">
        <v>0</v>
      </c>
      <c r="G371" s="178">
        <v>3161.64</v>
      </c>
      <c r="H371" s="178">
        <v>0</v>
      </c>
      <c r="I371" s="178">
        <v>206</v>
      </c>
      <c r="J371" s="178">
        <v>114</v>
      </c>
      <c r="K371" s="178">
        <v>3771.38</v>
      </c>
      <c r="L371" s="178">
        <v>1587.19</v>
      </c>
      <c r="M371" s="178">
        <v>2835.85</v>
      </c>
      <c r="N371" s="178">
        <f>20983.93-O371</f>
        <v>8935.130000000001</v>
      </c>
      <c r="O371" s="178">
        <f>265.57+11783.23</f>
        <v>12048.8</v>
      </c>
      <c r="P371" s="176">
        <f t="shared" si="114"/>
        <v>32659.99</v>
      </c>
      <c r="Q371" s="177"/>
      <c r="T371" s="130"/>
    </row>
    <row r="372" spans="1:20" ht="12.75">
      <c r="A372" s="179" t="s">
        <v>405</v>
      </c>
      <c r="B372" s="180" t="s">
        <v>406</v>
      </c>
      <c r="C372" s="178">
        <v>0</v>
      </c>
      <c r="D372" s="178">
        <v>15329.45</v>
      </c>
      <c r="E372" s="178">
        <v>9800.26</v>
      </c>
      <c r="F372" s="178">
        <v>31.84</v>
      </c>
      <c r="G372" s="178">
        <v>1184.31</v>
      </c>
      <c r="H372" s="178">
        <v>0</v>
      </c>
      <c r="I372" s="178">
        <v>0</v>
      </c>
      <c r="J372" s="178">
        <v>0</v>
      </c>
      <c r="K372" s="181">
        <v>-1721.61</v>
      </c>
      <c r="L372" s="178">
        <v>0</v>
      </c>
      <c r="M372" s="178">
        <v>7007.29</v>
      </c>
      <c r="N372" s="178">
        <f>423.55-O372</f>
        <v>227.62</v>
      </c>
      <c r="O372" s="178">
        <f>153.23+42.7</f>
        <v>195.93</v>
      </c>
      <c r="P372" s="176">
        <f t="shared" si="114"/>
        <v>32055.09</v>
      </c>
      <c r="Q372" s="177"/>
      <c r="T372" s="130"/>
    </row>
    <row r="373" spans="1:20" ht="12.75">
      <c r="A373" s="179" t="s">
        <v>407</v>
      </c>
      <c r="B373" s="180" t="s">
        <v>408</v>
      </c>
      <c r="C373" s="178">
        <v>0</v>
      </c>
      <c r="D373" s="178">
        <v>0</v>
      </c>
      <c r="E373" s="178">
        <v>0</v>
      </c>
      <c r="F373" s="178">
        <v>0</v>
      </c>
      <c r="G373" s="178">
        <v>0</v>
      </c>
      <c r="H373" s="178">
        <v>0</v>
      </c>
      <c r="I373" s="178">
        <v>0</v>
      </c>
      <c r="J373" s="178">
        <v>0</v>
      </c>
      <c r="K373" s="178">
        <v>0</v>
      </c>
      <c r="L373" s="178">
        <v>0</v>
      </c>
      <c r="M373" s="178">
        <v>0</v>
      </c>
      <c r="N373" s="178">
        <v>0</v>
      </c>
      <c r="O373" s="178"/>
      <c r="P373" s="176">
        <f t="shared" si="114"/>
        <v>0</v>
      </c>
      <c r="Q373" s="177"/>
      <c r="T373" s="130"/>
    </row>
    <row r="374" spans="1:20" ht="12.75">
      <c r="A374" s="179" t="s">
        <v>555</v>
      </c>
      <c r="B374" s="180" t="s">
        <v>554</v>
      </c>
      <c r="C374" s="178">
        <v>0</v>
      </c>
      <c r="D374" s="178">
        <v>0</v>
      </c>
      <c r="E374" s="178">
        <v>0</v>
      </c>
      <c r="F374" s="178">
        <v>0</v>
      </c>
      <c r="G374" s="178">
        <v>0</v>
      </c>
      <c r="H374" s="178">
        <v>0</v>
      </c>
      <c r="I374" s="178">
        <v>0</v>
      </c>
      <c r="J374" s="178">
        <v>0</v>
      </c>
      <c r="K374" s="178">
        <v>0</v>
      </c>
      <c r="L374" s="178">
        <v>0</v>
      </c>
      <c r="M374" s="178">
        <v>0</v>
      </c>
      <c r="N374" s="178">
        <v>0</v>
      </c>
      <c r="O374" s="178"/>
      <c r="P374" s="176">
        <f t="shared" si="114"/>
        <v>0</v>
      </c>
      <c r="Q374" s="177"/>
      <c r="T374" s="130"/>
    </row>
    <row r="375" spans="1:20" ht="12.75">
      <c r="A375" s="179" t="s">
        <v>409</v>
      </c>
      <c r="B375" s="180" t="s">
        <v>410</v>
      </c>
      <c r="C375" s="178">
        <v>0</v>
      </c>
      <c r="D375" s="178">
        <v>0</v>
      </c>
      <c r="E375" s="178">
        <v>23961.87</v>
      </c>
      <c r="F375" s="178">
        <v>0</v>
      </c>
      <c r="G375" s="178">
        <v>600</v>
      </c>
      <c r="H375" s="178">
        <v>0</v>
      </c>
      <c r="I375" s="178">
        <v>0</v>
      </c>
      <c r="J375" s="178">
        <v>0</v>
      </c>
      <c r="K375" s="178">
        <v>0</v>
      </c>
      <c r="L375" s="178">
        <v>0</v>
      </c>
      <c r="M375" s="178">
        <v>0</v>
      </c>
      <c r="N375" s="178">
        <v>0</v>
      </c>
      <c r="O375" s="178"/>
      <c r="P375" s="176">
        <f t="shared" si="114"/>
        <v>24561.87</v>
      </c>
      <c r="Q375" s="177"/>
      <c r="T375" s="130"/>
    </row>
    <row r="376" spans="1:20" ht="12.75">
      <c r="A376" s="179" t="s">
        <v>411</v>
      </c>
      <c r="B376" s="180" t="s">
        <v>412</v>
      </c>
      <c r="C376" s="178">
        <v>0</v>
      </c>
      <c r="D376" s="178">
        <v>0</v>
      </c>
      <c r="E376" s="178">
        <v>0</v>
      </c>
      <c r="F376" s="178">
        <v>0</v>
      </c>
      <c r="G376" s="178">
        <v>0</v>
      </c>
      <c r="H376" s="178">
        <v>0</v>
      </c>
      <c r="I376" s="178">
        <v>0</v>
      </c>
      <c r="J376" s="178">
        <v>0</v>
      </c>
      <c r="K376" s="178">
        <v>0</v>
      </c>
      <c r="L376" s="178">
        <v>0</v>
      </c>
      <c r="M376" s="178">
        <v>0</v>
      </c>
      <c r="N376" s="178">
        <v>0</v>
      </c>
      <c r="O376" s="178"/>
      <c r="P376" s="176">
        <f t="shared" si="114"/>
        <v>0</v>
      </c>
      <c r="Q376" s="177"/>
      <c r="T376" s="130"/>
    </row>
    <row r="377" spans="1:20" ht="12.75">
      <c r="A377" s="179" t="s">
        <v>352</v>
      </c>
      <c r="B377" s="180" t="s">
        <v>413</v>
      </c>
      <c r="C377" s="178">
        <v>0</v>
      </c>
      <c r="D377" s="178">
        <v>160</v>
      </c>
      <c r="E377" s="178">
        <v>3210</v>
      </c>
      <c r="F377" s="178">
        <v>2400</v>
      </c>
      <c r="G377" s="178">
        <v>2299.52</v>
      </c>
      <c r="H377" s="178">
        <v>2570</v>
      </c>
      <c r="I377" s="178">
        <v>2270</v>
      </c>
      <c r="J377" s="178">
        <v>4660</v>
      </c>
      <c r="K377" s="178">
        <v>36720.77</v>
      </c>
      <c r="L377" s="178">
        <v>3860.85</v>
      </c>
      <c r="M377" s="178">
        <v>2471.9</v>
      </c>
      <c r="N377" s="178">
        <f>17768.18-O377</f>
        <v>6495.77</v>
      </c>
      <c r="O377" s="178">
        <f>9421.71+1850.7</f>
        <v>11272.41</v>
      </c>
      <c r="P377" s="176">
        <f t="shared" si="114"/>
        <v>78391.22</v>
      </c>
      <c r="Q377" s="177"/>
      <c r="T377" s="130"/>
    </row>
    <row r="378" spans="1:20" ht="12.75">
      <c r="A378" s="179" t="s">
        <v>581</v>
      </c>
      <c r="B378" s="180" t="s">
        <v>582</v>
      </c>
      <c r="C378" s="178"/>
      <c r="D378" s="178"/>
      <c r="E378" s="178"/>
      <c r="F378" s="178"/>
      <c r="G378" s="178"/>
      <c r="H378" s="178"/>
      <c r="I378" s="178"/>
      <c r="J378" s="178"/>
      <c r="K378" s="178"/>
      <c r="L378" s="178">
        <v>0</v>
      </c>
      <c r="M378" s="178">
        <v>0</v>
      </c>
      <c r="N378" s="178">
        <v>683.1</v>
      </c>
      <c r="O378" s="178"/>
      <c r="P378" s="176">
        <f t="shared" si="114"/>
        <v>683.1</v>
      </c>
      <c r="Q378" s="177"/>
      <c r="T378" s="130"/>
    </row>
    <row r="379" spans="1:20" ht="12.75">
      <c r="A379" s="179" t="s">
        <v>414</v>
      </c>
      <c r="B379" s="180" t="s">
        <v>415</v>
      </c>
      <c r="C379" s="178">
        <v>0</v>
      </c>
      <c r="D379" s="178">
        <v>472.47</v>
      </c>
      <c r="E379" s="178">
        <v>1324.67</v>
      </c>
      <c r="F379" s="178">
        <v>808.96</v>
      </c>
      <c r="G379" s="178">
        <v>4161.44</v>
      </c>
      <c r="H379" s="178">
        <v>0</v>
      </c>
      <c r="I379" s="178">
        <v>848.32</v>
      </c>
      <c r="J379" s="178">
        <v>723.83</v>
      </c>
      <c r="K379" s="178">
        <v>321.81</v>
      </c>
      <c r="L379" s="178">
        <v>827.85</v>
      </c>
      <c r="M379" s="178">
        <v>492.78</v>
      </c>
      <c r="N379" s="178">
        <f>21338.64-O379</f>
        <v>122.05999999999767</v>
      </c>
      <c r="O379" s="178">
        <v>21216.58</v>
      </c>
      <c r="P379" s="176">
        <f t="shared" si="114"/>
        <v>31320.77</v>
      </c>
      <c r="Q379" s="177"/>
      <c r="T379" s="130"/>
    </row>
    <row r="380" spans="1:20" ht="12.75" customHeight="1">
      <c r="A380" s="179" t="s">
        <v>416</v>
      </c>
      <c r="B380" s="179" t="s">
        <v>417</v>
      </c>
      <c r="C380" s="178">
        <v>90300</v>
      </c>
      <c r="D380" s="178">
        <v>9452.92</v>
      </c>
      <c r="E380" s="178">
        <v>11054.7</v>
      </c>
      <c r="F380" s="181">
        <v>-3279.54</v>
      </c>
      <c r="G380" s="181">
        <v>-31761.2</v>
      </c>
      <c r="H380" s="181">
        <v>5528.12</v>
      </c>
      <c r="I380" s="181">
        <v>6004.27</v>
      </c>
      <c r="J380" s="181">
        <v>-12502.07</v>
      </c>
      <c r="K380" s="181">
        <v>-5004.85</v>
      </c>
      <c r="L380" s="181">
        <v>-1306.88</v>
      </c>
      <c r="M380" s="181">
        <v>-696.2</v>
      </c>
      <c r="N380" s="181">
        <v>-67789.27</v>
      </c>
      <c r="O380" s="181"/>
      <c r="P380" s="176">
        <f t="shared" si="114"/>
        <v>0</v>
      </c>
      <c r="Q380" s="177"/>
      <c r="T380" s="130"/>
    </row>
    <row r="381" spans="1:20" ht="12.75" customHeight="1">
      <c r="A381" s="187" t="s">
        <v>568</v>
      </c>
      <c r="B381" s="174" t="s">
        <v>567</v>
      </c>
      <c r="C381" s="178"/>
      <c r="D381" s="178"/>
      <c r="E381" s="178"/>
      <c r="F381" s="181"/>
      <c r="G381" s="230">
        <f>SUM(G382)</f>
        <v>0</v>
      </c>
      <c r="H381" s="230">
        <f aca="true" t="shared" si="115" ref="H381:P381">SUM(H382)</f>
        <v>0</v>
      </c>
      <c r="I381" s="230">
        <f t="shared" si="115"/>
        <v>704285</v>
      </c>
      <c r="J381" s="230">
        <f t="shared" si="115"/>
        <v>0</v>
      </c>
      <c r="K381" s="230">
        <f t="shared" si="115"/>
        <v>0</v>
      </c>
      <c r="L381" s="230">
        <f t="shared" si="115"/>
        <v>0</v>
      </c>
      <c r="M381" s="230">
        <f t="shared" si="115"/>
        <v>0</v>
      </c>
      <c r="N381" s="230">
        <f t="shared" si="115"/>
        <v>565974.36</v>
      </c>
      <c r="O381" s="230">
        <f t="shared" si="115"/>
        <v>68659.64</v>
      </c>
      <c r="P381" s="230">
        <f t="shared" si="115"/>
        <v>1338918.9999999998</v>
      </c>
      <c r="Q381" s="177"/>
      <c r="T381" s="130"/>
    </row>
    <row r="382" spans="1:20" ht="12.75" customHeight="1" thickBot="1">
      <c r="A382" s="179" t="s">
        <v>570</v>
      </c>
      <c r="B382" s="179" t="s">
        <v>569</v>
      </c>
      <c r="C382" s="178"/>
      <c r="D382" s="178"/>
      <c r="E382" s="178"/>
      <c r="F382" s="181"/>
      <c r="G382" s="181">
        <v>0</v>
      </c>
      <c r="H382" s="181">
        <v>0</v>
      </c>
      <c r="I382" s="181">
        <v>704285</v>
      </c>
      <c r="J382" s="181">
        <v>0</v>
      </c>
      <c r="K382" s="181">
        <v>0</v>
      </c>
      <c r="L382" s="181">
        <v>0</v>
      </c>
      <c r="M382" s="181">
        <v>0</v>
      </c>
      <c r="N382" s="181">
        <f>634634-O382</f>
        <v>565974.36</v>
      </c>
      <c r="O382" s="181">
        <v>68659.64</v>
      </c>
      <c r="P382" s="176">
        <f t="shared" si="114"/>
        <v>1338918.9999999998</v>
      </c>
      <c r="Q382" s="177"/>
      <c r="T382" s="130"/>
    </row>
    <row r="383" spans="1:20" ht="12.75" customHeight="1" thickBot="1">
      <c r="A383" s="134" t="s">
        <v>578</v>
      </c>
      <c r="B383" s="174" t="s">
        <v>576</v>
      </c>
      <c r="C383" s="175">
        <f>SUM(C384)</f>
        <v>0</v>
      </c>
      <c r="D383" s="175">
        <f aca="true" t="shared" si="116" ref="D383:P383">SUM(D384)</f>
        <v>0</v>
      </c>
      <c r="E383" s="175">
        <f t="shared" si="116"/>
        <v>0</v>
      </c>
      <c r="F383" s="175">
        <f t="shared" si="116"/>
        <v>0</v>
      </c>
      <c r="G383" s="175">
        <f t="shared" si="116"/>
        <v>0</v>
      </c>
      <c r="H383" s="175">
        <f t="shared" si="116"/>
        <v>0</v>
      </c>
      <c r="I383" s="175">
        <f t="shared" si="116"/>
        <v>0</v>
      </c>
      <c r="J383" s="175">
        <f t="shared" si="116"/>
        <v>0</v>
      </c>
      <c r="K383" s="175">
        <f t="shared" si="116"/>
        <v>0</v>
      </c>
      <c r="L383" s="175">
        <f t="shared" si="116"/>
        <v>1402916.68</v>
      </c>
      <c r="M383" s="175">
        <f t="shared" si="116"/>
        <v>914945.57</v>
      </c>
      <c r="N383" s="175">
        <f t="shared" si="116"/>
        <v>905460.48</v>
      </c>
      <c r="O383" s="175">
        <f t="shared" si="116"/>
        <v>0</v>
      </c>
      <c r="P383" s="175">
        <f t="shared" si="116"/>
        <v>3223322.73</v>
      </c>
      <c r="Q383" s="177"/>
      <c r="T383" s="130"/>
    </row>
    <row r="384" spans="1:20" ht="12.75" customHeight="1">
      <c r="A384" s="231" t="s">
        <v>579</v>
      </c>
      <c r="B384" s="179" t="s">
        <v>577</v>
      </c>
      <c r="C384" s="178">
        <v>0</v>
      </c>
      <c r="D384" s="178">
        <v>0</v>
      </c>
      <c r="E384" s="178">
        <v>0</v>
      </c>
      <c r="F384" s="178">
        <v>0</v>
      </c>
      <c r="G384" s="178">
        <v>0</v>
      </c>
      <c r="H384" s="178">
        <v>0</v>
      </c>
      <c r="I384" s="178">
        <v>0</v>
      </c>
      <c r="J384" s="178">
        <v>0</v>
      </c>
      <c r="K384" s="178">
        <v>0</v>
      </c>
      <c r="L384" s="178">
        <v>1402916.68</v>
      </c>
      <c r="M384" s="178">
        <v>914945.57</v>
      </c>
      <c r="N384" s="178">
        <v>905460.48</v>
      </c>
      <c r="O384" s="178">
        <v>0</v>
      </c>
      <c r="P384" s="176">
        <f t="shared" si="114"/>
        <v>3223322.73</v>
      </c>
      <c r="Q384" s="177"/>
      <c r="T384" s="130"/>
    </row>
    <row r="385" spans="1:20" s="111" customFormat="1" ht="12.75">
      <c r="A385" s="179"/>
      <c r="B385" s="174" t="s">
        <v>141</v>
      </c>
      <c r="C385" s="175">
        <f aca="true" t="shared" si="117" ref="C385:P385">C388+C392+C408+C386</f>
        <v>590327.53</v>
      </c>
      <c r="D385" s="175">
        <f t="shared" si="117"/>
        <v>88800</v>
      </c>
      <c r="E385" s="175">
        <f t="shared" si="117"/>
        <v>89500</v>
      </c>
      <c r="F385" s="175">
        <f t="shared" si="117"/>
        <v>29450</v>
      </c>
      <c r="G385" s="175">
        <f t="shared" si="117"/>
        <v>9649.55</v>
      </c>
      <c r="H385" s="175">
        <f t="shared" si="117"/>
        <v>0</v>
      </c>
      <c r="I385" s="175">
        <f t="shared" si="117"/>
        <v>700</v>
      </c>
      <c r="J385" s="175">
        <f t="shared" si="117"/>
        <v>800</v>
      </c>
      <c r="K385" s="175">
        <f t="shared" si="117"/>
        <v>0</v>
      </c>
      <c r="L385" s="175">
        <f t="shared" si="117"/>
        <v>0</v>
      </c>
      <c r="M385" s="175">
        <f t="shared" si="117"/>
        <v>0</v>
      </c>
      <c r="N385" s="175">
        <f t="shared" si="117"/>
        <v>0</v>
      </c>
      <c r="O385" s="175">
        <f t="shared" si="117"/>
        <v>0</v>
      </c>
      <c r="P385" s="175">
        <f t="shared" si="117"/>
        <v>809227.08</v>
      </c>
      <c r="Q385" s="182"/>
      <c r="R385" s="219"/>
      <c r="T385" s="147"/>
    </row>
    <row r="386" spans="1:20" s="111" customFormat="1" ht="12.75">
      <c r="A386" s="179"/>
      <c r="B386" s="174" t="s">
        <v>146</v>
      </c>
      <c r="C386" s="175">
        <f>SUM(C387)</f>
        <v>0</v>
      </c>
      <c r="D386" s="175">
        <f aca="true" t="shared" si="118" ref="D386:P386">SUM(D387)</f>
        <v>0</v>
      </c>
      <c r="E386" s="175">
        <f t="shared" si="118"/>
        <v>0</v>
      </c>
      <c r="F386" s="175">
        <f t="shared" si="118"/>
        <v>0</v>
      </c>
      <c r="G386" s="175">
        <f t="shared" si="118"/>
        <v>0</v>
      </c>
      <c r="H386" s="175">
        <f t="shared" si="118"/>
        <v>0</v>
      </c>
      <c r="I386" s="175">
        <f t="shared" si="118"/>
        <v>0</v>
      </c>
      <c r="J386" s="175">
        <f t="shared" si="118"/>
        <v>0</v>
      </c>
      <c r="K386" s="175">
        <f t="shared" si="118"/>
        <v>0</v>
      </c>
      <c r="L386" s="175">
        <f t="shared" si="118"/>
        <v>0</v>
      </c>
      <c r="M386" s="175">
        <f t="shared" si="118"/>
        <v>0</v>
      </c>
      <c r="N386" s="175">
        <f t="shared" si="118"/>
        <v>0</v>
      </c>
      <c r="O386" s="175">
        <f t="shared" si="118"/>
        <v>0</v>
      </c>
      <c r="P386" s="175">
        <f t="shared" si="118"/>
        <v>0</v>
      </c>
      <c r="Q386" s="182"/>
      <c r="R386" s="219"/>
      <c r="T386" s="147"/>
    </row>
    <row r="387" spans="1:20" s="111" customFormat="1" ht="12.75">
      <c r="A387" s="225" t="s">
        <v>536</v>
      </c>
      <c r="B387" s="183" t="s">
        <v>541</v>
      </c>
      <c r="C387" s="178">
        <v>0</v>
      </c>
      <c r="D387" s="178">
        <v>0</v>
      </c>
      <c r="E387" s="178">
        <v>0</v>
      </c>
      <c r="F387" s="178">
        <v>0</v>
      </c>
      <c r="G387" s="178">
        <v>0</v>
      </c>
      <c r="H387" s="178"/>
      <c r="I387" s="178">
        <v>0</v>
      </c>
      <c r="J387" s="178">
        <v>0</v>
      </c>
      <c r="K387" s="178">
        <v>0</v>
      </c>
      <c r="L387" s="178">
        <v>0</v>
      </c>
      <c r="M387" s="178">
        <v>0</v>
      </c>
      <c r="N387" s="178">
        <v>0</v>
      </c>
      <c r="O387" s="178"/>
      <c r="P387" s="176">
        <f>SUM(C387:O387)</f>
        <v>0</v>
      </c>
      <c r="Q387" s="182"/>
      <c r="R387" s="219"/>
      <c r="T387" s="147"/>
    </row>
    <row r="388" spans="1:20" s="111" customFormat="1" ht="12.75">
      <c r="A388" s="179"/>
      <c r="B388" s="174" t="s">
        <v>173</v>
      </c>
      <c r="C388" s="175">
        <f>SUM(C389:C391)</f>
        <v>589174.86</v>
      </c>
      <c r="D388" s="175">
        <f>SUM(D389:D391)</f>
        <v>88800</v>
      </c>
      <c r="E388" s="175">
        <f>SUM(E389:E391)</f>
        <v>89500</v>
      </c>
      <c r="F388" s="175">
        <f aca="true" t="shared" si="119" ref="F388:O388">SUM(F390:F391)</f>
        <v>29450</v>
      </c>
      <c r="G388" s="175">
        <f t="shared" si="119"/>
        <v>4200</v>
      </c>
      <c r="H388" s="175">
        <f t="shared" si="119"/>
        <v>0</v>
      </c>
      <c r="I388" s="175">
        <f t="shared" si="119"/>
        <v>700</v>
      </c>
      <c r="J388" s="175">
        <f t="shared" si="119"/>
        <v>800</v>
      </c>
      <c r="K388" s="175">
        <f t="shared" si="119"/>
        <v>0</v>
      </c>
      <c r="L388" s="175">
        <f t="shared" si="119"/>
        <v>0</v>
      </c>
      <c r="M388" s="175">
        <f t="shared" si="119"/>
        <v>0</v>
      </c>
      <c r="N388" s="175">
        <f t="shared" si="119"/>
        <v>0</v>
      </c>
      <c r="O388" s="175">
        <f t="shared" si="119"/>
        <v>0</v>
      </c>
      <c r="P388" s="175">
        <f>SUM(P389:P391)</f>
        <v>802624.86</v>
      </c>
      <c r="Q388" s="182"/>
      <c r="R388" s="219"/>
      <c r="T388" s="147"/>
    </row>
    <row r="389" spans="1:20" s="111" customFormat="1" ht="12.75">
      <c r="A389" s="179" t="s">
        <v>344</v>
      </c>
      <c r="B389" s="183" t="s">
        <v>418</v>
      </c>
      <c r="C389" s="184">
        <v>0</v>
      </c>
      <c r="D389" s="184">
        <v>0</v>
      </c>
      <c r="E389" s="184">
        <v>0</v>
      </c>
      <c r="F389" s="184">
        <v>0</v>
      </c>
      <c r="G389" s="184">
        <v>0</v>
      </c>
      <c r="H389" s="184">
        <v>0</v>
      </c>
      <c r="I389" s="184">
        <v>0</v>
      </c>
      <c r="J389" s="184">
        <v>0</v>
      </c>
      <c r="K389" s="184">
        <v>0</v>
      </c>
      <c r="L389" s="184">
        <v>0</v>
      </c>
      <c r="M389" s="184">
        <v>0</v>
      </c>
      <c r="N389" s="184">
        <v>0</v>
      </c>
      <c r="O389" s="184">
        <v>0</v>
      </c>
      <c r="P389" s="176">
        <f>SUM(C389:O389)</f>
        <v>0</v>
      </c>
      <c r="Q389" s="182"/>
      <c r="R389" s="219"/>
      <c r="T389" s="147"/>
    </row>
    <row r="390" spans="1:20" s="111" customFormat="1" ht="12.75">
      <c r="A390" s="185" t="s">
        <v>346</v>
      </c>
      <c r="B390" s="183" t="s">
        <v>419</v>
      </c>
      <c r="C390" s="184">
        <v>589174.86</v>
      </c>
      <c r="D390" s="184">
        <v>88800</v>
      </c>
      <c r="E390" s="184">
        <v>89500</v>
      </c>
      <c r="F390" s="184">
        <v>29450</v>
      </c>
      <c r="G390" s="186">
        <v>4200</v>
      </c>
      <c r="H390" s="186">
        <v>0</v>
      </c>
      <c r="I390" s="186">
        <v>700</v>
      </c>
      <c r="J390" s="186">
        <v>0</v>
      </c>
      <c r="K390" s="186">
        <v>0</v>
      </c>
      <c r="L390" s="186">
        <v>0</v>
      </c>
      <c r="M390" s="186">
        <v>0</v>
      </c>
      <c r="N390" s="186">
        <v>0</v>
      </c>
      <c r="O390" s="186">
        <v>0</v>
      </c>
      <c r="P390" s="176">
        <f>SUM(C390:O390)</f>
        <v>801824.86</v>
      </c>
      <c r="Q390" s="182"/>
      <c r="R390" s="219"/>
      <c r="T390" s="147"/>
    </row>
    <row r="391" spans="1:24" s="164" customFormat="1" ht="12.75">
      <c r="A391" s="179" t="s">
        <v>354</v>
      </c>
      <c r="B391" s="179" t="s">
        <v>542</v>
      </c>
      <c r="C391" s="178">
        <v>0</v>
      </c>
      <c r="D391" s="178">
        <v>0</v>
      </c>
      <c r="E391" s="178">
        <v>0</v>
      </c>
      <c r="F391" s="178">
        <v>0</v>
      </c>
      <c r="G391" s="178">
        <v>0</v>
      </c>
      <c r="H391" s="178">
        <v>0</v>
      </c>
      <c r="I391" s="178">
        <v>0</v>
      </c>
      <c r="J391" s="178">
        <v>800</v>
      </c>
      <c r="K391" s="178">
        <v>0</v>
      </c>
      <c r="L391" s="178">
        <v>0</v>
      </c>
      <c r="M391" s="178">
        <v>0</v>
      </c>
      <c r="N391" s="178">
        <v>0</v>
      </c>
      <c r="O391" s="178">
        <v>0</v>
      </c>
      <c r="P391" s="176">
        <f>SUM(C391:O391)</f>
        <v>800</v>
      </c>
      <c r="Q391" s="182"/>
      <c r="R391" s="219"/>
      <c r="S391" s="111"/>
      <c r="T391" s="147"/>
      <c r="U391" s="111"/>
      <c r="V391" s="111"/>
      <c r="W391" s="111"/>
      <c r="X391" s="119"/>
    </row>
    <row r="392" spans="1:24" s="164" customFormat="1" ht="12.75">
      <c r="A392" s="179"/>
      <c r="B392" s="187" t="s">
        <v>179</v>
      </c>
      <c r="C392" s="175">
        <f aca="true" t="shared" si="120" ref="C392:P392">SUM(C393:C407)</f>
        <v>1152.67</v>
      </c>
      <c r="D392" s="175">
        <f t="shared" si="120"/>
        <v>0</v>
      </c>
      <c r="E392" s="175">
        <f t="shared" si="120"/>
        <v>0</v>
      </c>
      <c r="F392" s="175">
        <f t="shared" si="120"/>
        <v>0</v>
      </c>
      <c r="G392" s="175">
        <f t="shared" si="120"/>
        <v>5449.549999999999</v>
      </c>
      <c r="H392" s="175">
        <f t="shared" si="120"/>
        <v>0</v>
      </c>
      <c r="I392" s="175">
        <f t="shared" si="120"/>
        <v>0</v>
      </c>
      <c r="J392" s="175">
        <f t="shared" si="120"/>
        <v>0</v>
      </c>
      <c r="K392" s="175">
        <f t="shared" si="120"/>
        <v>0</v>
      </c>
      <c r="L392" s="175">
        <f t="shared" si="120"/>
        <v>0</v>
      </c>
      <c r="M392" s="175">
        <f t="shared" si="120"/>
        <v>0</v>
      </c>
      <c r="N392" s="175">
        <f t="shared" si="120"/>
        <v>0</v>
      </c>
      <c r="O392" s="175">
        <f t="shared" si="120"/>
        <v>0</v>
      </c>
      <c r="P392" s="175">
        <f t="shared" si="120"/>
        <v>6602.219999999999</v>
      </c>
      <c r="Q392" s="182"/>
      <c r="R392" s="219"/>
      <c r="S392" s="111"/>
      <c r="T392" s="147"/>
      <c r="U392" s="111"/>
      <c r="V392" s="111"/>
      <c r="W392" s="111"/>
      <c r="X392" s="119"/>
    </row>
    <row r="393" spans="1:20" s="190" customFormat="1" ht="12.75">
      <c r="A393" s="179" t="s">
        <v>356</v>
      </c>
      <c r="B393" s="188" t="s">
        <v>420</v>
      </c>
      <c r="C393" s="189">
        <v>0.04</v>
      </c>
      <c r="D393" s="189">
        <v>0</v>
      </c>
      <c r="E393" s="189">
        <v>0</v>
      </c>
      <c r="F393" s="189">
        <v>0</v>
      </c>
      <c r="G393" s="189">
        <v>0</v>
      </c>
      <c r="H393" s="189">
        <v>0</v>
      </c>
      <c r="I393" s="189">
        <v>0</v>
      </c>
      <c r="J393" s="189">
        <v>0</v>
      </c>
      <c r="K393" s="189">
        <v>0</v>
      </c>
      <c r="L393" s="189">
        <v>0</v>
      </c>
      <c r="M393" s="189">
        <v>0</v>
      </c>
      <c r="N393" s="189">
        <v>0</v>
      </c>
      <c r="O393" s="189">
        <v>0</v>
      </c>
      <c r="P393" s="176">
        <f aca="true" t="shared" si="121" ref="P393:P407">SUM(C393:O393)</f>
        <v>0.04</v>
      </c>
      <c r="Q393" s="182"/>
      <c r="R393" s="191"/>
      <c r="T393" s="191"/>
    </row>
    <row r="394" spans="1:20" s="190" customFormat="1" ht="12.75">
      <c r="A394" s="179" t="s">
        <v>342</v>
      </c>
      <c r="B394" s="188" t="s">
        <v>421</v>
      </c>
      <c r="C394" s="189">
        <v>0</v>
      </c>
      <c r="D394" s="189">
        <v>0</v>
      </c>
      <c r="E394" s="189">
        <v>0</v>
      </c>
      <c r="F394" s="189">
        <v>0</v>
      </c>
      <c r="G394" s="189">
        <v>0</v>
      </c>
      <c r="H394" s="189">
        <v>0</v>
      </c>
      <c r="I394" s="189">
        <v>0</v>
      </c>
      <c r="J394" s="189">
        <v>0</v>
      </c>
      <c r="K394" s="189">
        <v>0</v>
      </c>
      <c r="L394" s="189">
        <v>0</v>
      </c>
      <c r="M394" s="189">
        <v>0</v>
      </c>
      <c r="N394" s="189">
        <v>0</v>
      </c>
      <c r="O394" s="189">
        <v>0</v>
      </c>
      <c r="P394" s="176">
        <f t="shared" si="121"/>
        <v>0</v>
      </c>
      <c r="Q394" s="182"/>
      <c r="R394" s="191"/>
      <c r="T394" s="191"/>
    </row>
    <row r="395" spans="1:23" ht="12.75">
      <c r="A395" s="179" t="s">
        <v>361</v>
      </c>
      <c r="B395" s="188" t="s">
        <v>422</v>
      </c>
      <c r="C395" s="189">
        <v>0</v>
      </c>
      <c r="D395" s="189">
        <v>0</v>
      </c>
      <c r="E395" s="189">
        <v>0</v>
      </c>
      <c r="F395" s="189">
        <v>0</v>
      </c>
      <c r="G395" s="189">
        <v>0</v>
      </c>
      <c r="H395" s="189">
        <v>0</v>
      </c>
      <c r="I395" s="189">
        <v>0</v>
      </c>
      <c r="J395" s="189">
        <v>0</v>
      </c>
      <c r="K395" s="189">
        <v>0</v>
      </c>
      <c r="L395" s="189">
        <v>0</v>
      </c>
      <c r="M395" s="189">
        <v>0</v>
      </c>
      <c r="N395" s="189">
        <v>0</v>
      </c>
      <c r="O395" s="189"/>
      <c r="P395" s="176">
        <f t="shared" si="121"/>
        <v>0</v>
      </c>
      <c r="Q395" s="177"/>
      <c r="S395" s="111"/>
      <c r="T395" s="147"/>
      <c r="U395" s="111"/>
      <c r="V395" s="111"/>
      <c r="W395" s="111"/>
    </row>
    <row r="396" spans="1:23" ht="12.75">
      <c r="A396" s="192" t="s">
        <v>346</v>
      </c>
      <c r="B396" s="188" t="s">
        <v>423</v>
      </c>
      <c r="C396" s="189">
        <v>0</v>
      </c>
      <c r="D396" s="189">
        <v>0</v>
      </c>
      <c r="E396" s="189">
        <v>0</v>
      </c>
      <c r="F396" s="189">
        <v>0</v>
      </c>
      <c r="G396" s="189">
        <v>0</v>
      </c>
      <c r="H396" s="189">
        <v>0</v>
      </c>
      <c r="I396" s="189">
        <v>0</v>
      </c>
      <c r="J396" s="189">
        <v>0</v>
      </c>
      <c r="K396" s="189">
        <v>0</v>
      </c>
      <c r="L396" s="189">
        <v>0</v>
      </c>
      <c r="M396" s="189">
        <v>0</v>
      </c>
      <c r="N396" s="189">
        <v>0</v>
      </c>
      <c r="O396" s="189">
        <v>0</v>
      </c>
      <c r="P396" s="176">
        <f t="shared" si="121"/>
        <v>0</v>
      </c>
      <c r="Q396" s="177"/>
      <c r="S396" s="111"/>
      <c r="T396" s="147"/>
      <c r="U396" s="111"/>
      <c r="V396" s="111"/>
      <c r="W396" s="111"/>
    </row>
    <row r="397" spans="1:23" ht="12.75">
      <c r="A397" s="179" t="s">
        <v>364</v>
      </c>
      <c r="B397" s="188" t="s">
        <v>566</v>
      </c>
      <c r="C397" s="189"/>
      <c r="D397" s="189"/>
      <c r="E397" s="189">
        <v>0</v>
      </c>
      <c r="F397" s="189">
        <v>0</v>
      </c>
      <c r="G397" s="189">
        <v>221.15</v>
      </c>
      <c r="H397" s="189">
        <v>0</v>
      </c>
      <c r="I397" s="189">
        <v>0</v>
      </c>
      <c r="J397" s="189">
        <v>0</v>
      </c>
      <c r="K397" s="189">
        <v>0</v>
      </c>
      <c r="L397" s="189">
        <v>0</v>
      </c>
      <c r="M397" s="189"/>
      <c r="N397" s="189">
        <v>0</v>
      </c>
      <c r="O397" s="189"/>
      <c r="P397" s="176">
        <f t="shared" si="121"/>
        <v>221.15</v>
      </c>
      <c r="Q397" s="177"/>
      <c r="S397" s="111"/>
      <c r="T397" s="147"/>
      <c r="U397" s="111"/>
      <c r="V397" s="111"/>
      <c r="W397" s="111"/>
    </row>
    <row r="398" spans="1:20" ht="12.75">
      <c r="A398" s="179" t="s">
        <v>348</v>
      </c>
      <c r="B398" s="180" t="s">
        <v>424</v>
      </c>
      <c r="C398" s="178">
        <v>440</v>
      </c>
      <c r="D398" s="178">
        <v>0</v>
      </c>
      <c r="E398" s="178">
        <v>0</v>
      </c>
      <c r="F398" s="178">
        <v>0</v>
      </c>
      <c r="G398" s="178">
        <v>0</v>
      </c>
      <c r="H398" s="178">
        <v>0</v>
      </c>
      <c r="I398" s="178">
        <v>0</v>
      </c>
      <c r="J398" s="178">
        <v>0</v>
      </c>
      <c r="K398" s="178">
        <v>0</v>
      </c>
      <c r="L398" s="178">
        <v>0</v>
      </c>
      <c r="M398" s="178">
        <v>0</v>
      </c>
      <c r="N398" s="178">
        <v>0</v>
      </c>
      <c r="O398" s="178">
        <v>0</v>
      </c>
      <c r="P398" s="176">
        <f t="shared" si="121"/>
        <v>440</v>
      </c>
      <c r="Q398" s="177"/>
      <c r="T398" s="130"/>
    </row>
    <row r="399" spans="1:20" ht="12.75">
      <c r="A399" s="179" t="s">
        <v>369</v>
      </c>
      <c r="B399" s="180" t="s">
        <v>425</v>
      </c>
      <c r="C399" s="178">
        <v>28.57</v>
      </c>
      <c r="D399" s="178">
        <v>0</v>
      </c>
      <c r="E399" s="178">
        <v>0</v>
      </c>
      <c r="F399" s="178">
        <v>0</v>
      </c>
      <c r="G399" s="178">
        <v>5228.4</v>
      </c>
      <c r="H399" s="178">
        <v>0</v>
      </c>
      <c r="I399" s="178">
        <v>0</v>
      </c>
      <c r="J399" s="178">
        <v>0</v>
      </c>
      <c r="K399" s="178">
        <v>0</v>
      </c>
      <c r="L399" s="178">
        <v>0</v>
      </c>
      <c r="M399" s="178">
        <v>0</v>
      </c>
      <c r="N399" s="178">
        <v>0</v>
      </c>
      <c r="O399" s="178">
        <v>0</v>
      </c>
      <c r="P399" s="176">
        <f t="shared" si="121"/>
        <v>5256.969999999999</v>
      </c>
      <c r="Q399" s="177"/>
      <c r="T399" s="130"/>
    </row>
    <row r="400" spans="1:20" ht="12.75">
      <c r="A400" s="179" t="s">
        <v>371</v>
      </c>
      <c r="B400" s="180" t="s">
        <v>426</v>
      </c>
      <c r="C400" s="178">
        <v>0</v>
      </c>
      <c r="D400" s="178">
        <v>0</v>
      </c>
      <c r="E400" s="178">
        <v>0</v>
      </c>
      <c r="F400" s="178">
        <v>0</v>
      </c>
      <c r="G400" s="178">
        <v>0</v>
      </c>
      <c r="H400" s="178">
        <v>0</v>
      </c>
      <c r="I400" s="178">
        <v>0</v>
      </c>
      <c r="J400" s="178">
        <v>0</v>
      </c>
      <c r="K400" s="178">
        <v>0</v>
      </c>
      <c r="L400" s="178">
        <v>0</v>
      </c>
      <c r="M400" s="178">
        <v>0</v>
      </c>
      <c r="N400" s="178">
        <v>0</v>
      </c>
      <c r="O400" s="178">
        <v>0</v>
      </c>
      <c r="P400" s="176">
        <f t="shared" si="121"/>
        <v>0</v>
      </c>
      <c r="Q400" s="177"/>
      <c r="T400" s="130"/>
    </row>
    <row r="401" spans="1:20" ht="12.75">
      <c r="A401" s="179" t="s">
        <v>382</v>
      </c>
      <c r="B401" s="180" t="s">
        <v>543</v>
      </c>
      <c r="C401" s="178">
        <v>0</v>
      </c>
      <c r="D401" s="178">
        <v>0</v>
      </c>
      <c r="E401" s="178">
        <v>0</v>
      </c>
      <c r="F401" s="178">
        <v>0</v>
      </c>
      <c r="G401" s="178">
        <v>0</v>
      </c>
      <c r="H401" s="178">
        <v>0</v>
      </c>
      <c r="I401" s="178">
        <v>0</v>
      </c>
      <c r="J401" s="178">
        <v>0</v>
      </c>
      <c r="K401" s="178">
        <v>0</v>
      </c>
      <c r="L401" s="178">
        <v>0</v>
      </c>
      <c r="M401" s="178">
        <v>0</v>
      </c>
      <c r="N401" s="178">
        <v>0</v>
      </c>
      <c r="O401" s="178">
        <v>0</v>
      </c>
      <c r="P401" s="176">
        <f t="shared" si="121"/>
        <v>0</v>
      </c>
      <c r="Q401" s="177"/>
      <c r="T401" s="130"/>
    </row>
    <row r="402" spans="1:20" ht="12.75">
      <c r="A402" s="179" t="s">
        <v>392</v>
      </c>
      <c r="B402" s="180" t="s">
        <v>427</v>
      </c>
      <c r="C402" s="178">
        <v>0</v>
      </c>
      <c r="D402" s="178">
        <v>0</v>
      </c>
      <c r="E402" s="178">
        <v>0</v>
      </c>
      <c r="F402" s="178">
        <v>0</v>
      </c>
      <c r="G402" s="178">
        <v>0</v>
      </c>
      <c r="H402" s="178">
        <v>0</v>
      </c>
      <c r="I402" s="178">
        <v>0</v>
      </c>
      <c r="J402" s="178">
        <v>0</v>
      </c>
      <c r="K402" s="178">
        <v>0</v>
      </c>
      <c r="L402" s="178">
        <v>0</v>
      </c>
      <c r="M402" s="178">
        <v>0</v>
      </c>
      <c r="N402" s="178">
        <v>0</v>
      </c>
      <c r="O402" s="178">
        <v>0</v>
      </c>
      <c r="P402" s="176">
        <f t="shared" si="121"/>
        <v>0</v>
      </c>
      <c r="Q402" s="177"/>
      <c r="T402" s="130"/>
    </row>
    <row r="403" spans="1:20" ht="12.75">
      <c r="A403" s="179" t="s">
        <v>396</v>
      </c>
      <c r="B403" s="180" t="s">
        <v>428</v>
      </c>
      <c r="C403" s="178">
        <v>0</v>
      </c>
      <c r="D403" s="178">
        <v>0</v>
      </c>
      <c r="E403" s="178">
        <v>0</v>
      </c>
      <c r="F403" s="178">
        <v>0</v>
      </c>
      <c r="G403" s="178">
        <v>0</v>
      </c>
      <c r="H403" s="178">
        <v>0</v>
      </c>
      <c r="I403" s="178">
        <v>0</v>
      </c>
      <c r="J403" s="178">
        <v>0</v>
      </c>
      <c r="K403" s="178">
        <v>0</v>
      </c>
      <c r="L403" s="178">
        <v>0</v>
      </c>
      <c r="M403" s="178">
        <v>0</v>
      </c>
      <c r="N403" s="178">
        <v>0</v>
      </c>
      <c r="O403" s="178">
        <v>0</v>
      </c>
      <c r="P403" s="176">
        <f t="shared" si="121"/>
        <v>0</v>
      </c>
      <c r="Q403" s="177"/>
      <c r="T403" s="130"/>
    </row>
    <row r="404" spans="1:20" ht="12.75">
      <c r="A404" s="179" t="s">
        <v>398</v>
      </c>
      <c r="B404" s="180" t="s">
        <v>429</v>
      </c>
      <c r="C404" s="178">
        <v>0</v>
      </c>
      <c r="D404" s="178">
        <v>0</v>
      </c>
      <c r="E404" s="178">
        <v>0</v>
      </c>
      <c r="F404" s="178">
        <v>0</v>
      </c>
      <c r="G404" s="178">
        <v>0</v>
      </c>
      <c r="H404" s="178">
        <v>0</v>
      </c>
      <c r="I404" s="178">
        <v>0</v>
      </c>
      <c r="J404" s="178">
        <v>0</v>
      </c>
      <c r="K404" s="178">
        <v>0</v>
      </c>
      <c r="L404" s="178">
        <v>0</v>
      </c>
      <c r="M404" s="178">
        <v>0</v>
      </c>
      <c r="N404" s="178">
        <v>0</v>
      </c>
      <c r="O404" s="178">
        <v>0</v>
      </c>
      <c r="P404" s="176">
        <f t="shared" si="121"/>
        <v>0</v>
      </c>
      <c r="Q404" s="177"/>
      <c r="T404" s="130"/>
    </row>
    <row r="405" spans="1:20" ht="12.75">
      <c r="A405" s="179" t="s">
        <v>354</v>
      </c>
      <c r="B405" s="180" t="s">
        <v>544</v>
      </c>
      <c r="C405" s="178">
        <v>0</v>
      </c>
      <c r="D405" s="178">
        <v>0</v>
      </c>
      <c r="E405" s="178">
        <v>0</v>
      </c>
      <c r="F405" s="178">
        <v>0</v>
      </c>
      <c r="G405" s="178">
        <v>0</v>
      </c>
      <c r="H405" s="178">
        <v>0</v>
      </c>
      <c r="I405" s="178">
        <v>0</v>
      </c>
      <c r="J405" s="178">
        <v>0</v>
      </c>
      <c r="K405" s="178">
        <v>0</v>
      </c>
      <c r="L405" s="178">
        <v>0</v>
      </c>
      <c r="M405" s="178">
        <v>0</v>
      </c>
      <c r="N405" s="178">
        <v>0</v>
      </c>
      <c r="O405" s="178">
        <v>0</v>
      </c>
      <c r="P405" s="176">
        <f t="shared" si="121"/>
        <v>0</v>
      </c>
      <c r="Q405" s="177"/>
      <c r="T405" s="130"/>
    </row>
    <row r="406" spans="1:20" ht="12.75">
      <c r="A406" s="179" t="s">
        <v>352</v>
      </c>
      <c r="B406" s="180" t="s">
        <v>430</v>
      </c>
      <c r="C406" s="178">
        <v>0</v>
      </c>
      <c r="D406" s="178">
        <v>0</v>
      </c>
      <c r="E406" s="178">
        <v>0</v>
      </c>
      <c r="F406" s="178">
        <v>0</v>
      </c>
      <c r="G406" s="178">
        <v>0</v>
      </c>
      <c r="H406" s="178">
        <v>0</v>
      </c>
      <c r="I406" s="178">
        <v>0</v>
      </c>
      <c r="J406" s="178">
        <v>0</v>
      </c>
      <c r="K406" s="178">
        <v>0</v>
      </c>
      <c r="L406" s="178">
        <v>0</v>
      </c>
      <c r="M406" s="178">
        <v>0</v>
      </c>
      <c r="N406" s="178">
        <v>0</v>
      </c>
      <c r="O406" s="178">
        <v>0</v>
      </c>
      <c r="P406" s="176">
        <f t="shared" si="121"/>
        <v>0</v>
      </c>
      <c r="Q406" s="177"/>
      <c r="T406" s="130"/>
    </row>
    <row r="407" spans="1:20" ht="12.75">
      <c r="A407" s="179" t="s">
        <v>414</v>
      </c>
      <c r="B407" s="180" t="s">
        <v>431</v>
      </c>
      <c r="C407" s="178">
        <v>684.06</v>
      </c>
      <c r="D407" s="178">
        <v>0</v>
      </c>
      <c r="E407" s="178">
        <v>0</v>
      </c>
      <c r="F407" s="178">
        <v>0</v>
      </c>
      <c r="G407" s="178">
        <v>0</v>
      </c>
      <c r="H407" s="178">
        <v>0</v>
      </c>
      <c r="I407" s="178">
        <v>0</v>
      </c>
      <c r="J407" s="178">
        <v>0</v>
      </c>
      <c r="K407" s="178">
        <v>0</v>
      </c>
      <c r="L407" s="178">
        <v>0</v>
      </c>
      <c r="M407" s="178">
        <v>0</v>
      </c>
      <c r="N407" s="178">
        <v>0</v>
      </c>
      <c r="O407" s="178">
        <v>0</v>
      </c>
      <c r="P407" s="176">
        <f t="shared" si="121"/>
        <v>684.06</v>
      </c>
      <c r="Q407" s="177"/>
      <c r="T407" s="130"/>
    </row>
    <row r="408" spans="1:20" ht="12.75">
      <c r="A408" s="179"/>
      <c r="B408" s="174" t="s">
        <v>432</v>
      </c>
      <c r="C408" s="175">
        <f aca="true" t="shared" si="122" ref="C408:P408">SUM(C409)</f>
        <v>0</v>
      </c>
      <c r="D408" s="175">
        <f t="shared" si="122"/>
        <v>0</v>
      </c>
      <c r="E408" s="175">
        <f t="shared" si="122"/>
        <v>0</v>
      </c>
      <c r="F408" s="175">
        <f t="shared" si="122"/>
        <v>0</v>
      </c>
      <c r="G408" s="175">
        <f t="shared" si="122"/>
        <v>0</v>
      </c>
      <c r="H408" s="175">
        <f t="shared" si="122"/>
        <v>0</v>
      </c>
      <c r="I408" s="175">
        <f t="shared" si="122"/>
        <v>0</v>
      </c>
      <c r="J408" s="175">
        <f t="shared" si="122"/>
        <v>0</v>
      </c>
      <c r="K408" s="175">
        <f t="shared" si="122"/>
        <v>0</v>
      </c>
      <c r="L408" s="175">
        <f t="shared" si="122"/>
        <v>0</v>
      </c>
      <c r="M408" s="175">
        <f t="shared" si="122"/>
        <v>0</v>
      </c>
      <c r="N408" s="175">
        <f t="shared" si="122"/>
        <v>0</v>
      </c>
      <c r="O408" s="175">
        <f t="shared" si="122"/>
        <v>0</v>
      </c>
      <c r="P408" s="175">
        <f t="shared" si="122"/>
        <v>0</v>
      </c>
      <c r="Q408" s="177"/>
      <c r="T408" s="130"/>
    </row>
    <row r="409" spans="1:20" ht="12.75">
      <c r="A409" s="179" t="s">
        <v>433</v>
      </c>
      <c r="B409" s="180" t="s">
        <v>432</v>
      </c>
      <c r="C409" s="178">
        <v>0</v>
      </c>
      <c r="D409" s="178">
        <v>0</v>
      </c>
      <c r="E409" s="178">
        <v>0</v>
      </c>
      <c r="F409" s="178">
        <v>0</v>
      </c>
      <c r="G409" s="178">
        <v>0</v>
      </c>
      <c r="H409" s="178">
        <v>0</v>
      </c>
      <c r="I409" s="178">
        <v>0</v>
      </c>
      <c r="J409" s="178">
        <v>0</v>
      </c>
      <c r="K409" s="178">
        <v>0</v>
      </c>
      <c r="L409" s="178">
        <v>0</v>
      </c>
      <c r="M409" s="178">
        <v>0</v>
      </c>
      <c r="N409" s="178">
        <v>0</v>
      </c>
      <c r="O409" s="178">
        <v>0</v>
      </c>
      <c r="P409" s="176">
        <f>SUM(C409:O409)</f>
        <v>0</v>
      </c>
      <c r="Q409" s="177"/>
      <c r="T409" s="130"/>
    </row>
    <row r="410" spans="1:20" ht="12.75">
      <c r="A410" s="179"/>
      <c r="B410" s="174" t="s">
        <v>193</v>
      </c>
      <c r="C410" s="175">
        <f aca="true" t="shared" si="123" ref="C410:P410">SUM(C411:C413)</f>
        <v>0</v>
      </c>
      <c r="D410" s="175">
        <f t="shared" si="123"/>
        <v>0</v>
      </c>
      <c r="E410" s="175">
        <f t="shared" si="123"/>
        <v>0</v>
      </c>
      <c r="F410" s="175">
        <f t="shared" si="123"/>
        <v>0</v>
      </c>
      <c r="G410" s="175">
        <f t="shared" si="123"/>
        <v>0</v>
      </c>
      <c r="H410" s="175">
        <f t="shared" si="123"/>
        <v>0</v>
      </c>
      <c r="I410" s="175">
        <f t="shared" si="123"/>
        <v>0</v>
      </c>
      <c r="J410" s="175">
        <f t="shared" si="123"/>
        <v>0</v>
      </c>
      <c r="K410" s="175">
        <f t="shared" si="123"/>
        <v>0</v>
      </c>
      <c r="L410" s="175">
        <f t="shared" si="123"/>
        <v>0</v>
      </c>
      <c r="M410" s="175">
        <f t="shared" si="123"/>
        <v>0</v>
      </c>
      <c r="N410" s="175">
        <f t="shared" si="123"/>
        <v>0</v>
      </c>
      <c r="O410" s="175">
        <f t="shared" si="123"/>
        <v>0</v>
      </c>
      <c r="P410" s="175">
        <f t="shared" si="123"/>
        <v>0</v>
      </c>
      <c r="Q410" s="177"/>
      <c r="T410" s="130"/>
    </row>
    <row r="411" spans="1:20" ht="12.75">
      <c r="A411" s="179" t="s">
        <v>356</v>
      </c>
      <c r="B411" s="180" t="s">
        <v>434</v>
      </c>
      <c r="C411" s="178">
        <v>0</v>
      </c>
      <c r="D411" s="178">
        <v>0</v>
      </c>
      <c r="E411" s="178">
        <v>0</v>
      </c>
      <c r="F411" s="178">
        <v>0</v>
      </c>
      <c r="G411" s="178">
        <v>0</v>
      </c>
      <c r="H411" s="178">
        <v>0</v>
      </c>
      <c r="I411" s="178">
        <v>0</v>
      </c>
      <c r="J411" s="178">
        <v>0</v>
      </c>
      <c r="K411" s="178">
        <v>0</v>
      </c>
      <c r="L411" s="178">
        <v>0</v>
      </c>
      <c r="M411" s="178">
        <v>0</v>
      </c>
      <c r="N411" s="178">
        <v>0</v>
      </c>
      <c r="O411" s="178">
        <v>0</v>
      </c>
      <c r="P411" s="176">
        <f>SUM(C411:O411)</f>
        <v>0</v>
      </c>
      <c r="Q411" s="177"/>
      <c r="T411" s="130"/>
    </row>
    <row r="412" spans="1:20" ht="12.75">
      <c r="A412" s="179" t="s">
        <v>342</v>
      </c>
      <c r="B412" s="180" t="s">
        <v>435</v>
      </c>
      <c r="C412" s="178">
        <v>0</v>
      </c>
      <c r="D412" s="178">
        <v>0</v>
      </c>
      <c r="E412" s="178">
        <v>0</v>
      </c>
      <c r="F412" s="178">
        <v>0</v>
      </c>
      <c r="G412" s="178">
        <v>0</v>
      </c>
      <c r="H412" s="178">
        <v>0</v>
      </c>
      <c r="I412" s="178">
        <v>0</v>
      </c>
      <c r="J412" s="178">
        <v>0</v>
      </c>
      <c r="K412" s="178">
        <v>0</v>
      </c>
      <c r="L412" s="178">
        <v>0</v>
      </c>
      <c r="M412" s="178">
        <v>0</v>
      </c>
      <c r="N412" s="178">
        <v>0</v>
      </c>
      <c r="O412" s="178">
        <v>0</v>
      </c>
      <c r="P412" s="176">
        <f>SUM(C412:O412)</f>
        <v>0</v>
      </c>
      <c r="Q412" s="177"/>
      <c r="T412" s="130"/>
    </row>
    <row r="413" spans="1:20" ht="12.75">
      <c r="A413" s="179" t="s">
        <v>388</v>
      </c>
      <c r="B413" s="180" t="s">
        <v>436</v>
      </c>
      <c r="C413" s="178">
        <v>0</v>
      </c>
      <c r="D413" s="178">
        <v>0</v>
      </c>
      <c r="E413" s="178">
        <v>0</v>
      </c>
      <c r="F413" s="178">
        <v>0</v>
      </c>
      <c r="G413" s="178">
        <v>0</v>
      </c>
      <c r="H413" s="178">
        <v>0</v>
      </c>
      <c r="I413" s="178">
        <v>0</v>
      </c>
      <c r="J413" s="178">
        <v>0</v>
      </c>
      <c r="K413" s="178">
        <v>0</v>
      </c>
      <c r="L413" s="178">
        <v>0</v>
      </c>
      <c r="M413" s="178">
        <v>0</v>
      </c>
      <c r="N413" s="178">
        <v>0</v>
      </c>
      <c r="O413" s="178">
        <v>0</v>
      </c>
      <c r="P413" s="176">
        <f>SUM(C413:O413)</f>
        <v>0</v>
      </c>
      <c r="Q413" s="177"/>
      <c r="T413" s="130"/>
    </row>
    <row r="414" spans="1:20" ht="12.75">
      <c r="A414" s="179"/>
      <c r="B414" s="174" t="s">
        <v>437</v>
      </c>
      <c r="C414" s="175">
        <f>SUM(C415:C418)</f>
        <v>375536.87</v>
      </c>
      <c r="D414" s="175">
        <f aca="true" t="shared" si="124" ref="D414:P414">SUM(D415:D418)</f>
        <v>420</v>
      </c>
      <c r="E414" s="175">
        <f t="shared" si="124"/>
        <v>0</v>
      </c>
      <c r="F414" s="175">
        <f t="shared" si="124"/>
        <v>48</v>
      </c>
      <c r="G414" s="175">
        <f t="shared" si="124"/>
        <v>63.64</v>
      </c>
      <c r="H414" s="175">
        <f t="shared" si="124"/>
        <v>48</v>
      </c>
      <c r="I414" s="175">
        <f t="shared" si="124"/>
        <v>96</v>
      </c>
      <c r="J414" s="175">
        <f t="shared" si="124"/>
        <v>-375182.72</v>
      </c>
      <c r="K414" s="175">
        <f t="shared" si="124"/>
        <v>212.49</v>
      </c>
      <c r="L414" s="175">
        <f t="shared" si="124"/>
        <v>96</v>
      </c>
      <c r="M414" s="175">
        <f t="shared" si="124"/>
        <v>95.26</v>
      </c>
      <c r="N414" s="175">
        <f t="shared" si="124"/>
        <v>144</v>
      </c>
      <c r="O414" s="175">
        <f t="shared" si="124"/>
        <v>0</v>
      </c>
      <c r="P414" s="175">
        <f t="shared" si="124"/>
        <v>1577.54</v>
      </c>
      <c r="Q414" s="193"/>
      <c r="T414" s="130"/>
    </row>
    <row r="415" spans="1:20" ht="12.75">
      <c r="A415" s="179" t="s">
        <v>438</v>
      </c>
      <c r="B415" s="180" t="s">
        <v>439</v>
      </c>
      <c r="C415" s="178">
        <v>0</v>
      </c>
      <c r="D415" s="175">
        <v>0</v>
      </c>
      <c r="E415" s="178">
        <v>0</v>
      </c>
      <c r="F415" s="178">
        <v>0</v>
      </c>
      <c r="G415" s="178">
        <v>0</v>
      </c>
      <c r="H415" s="178">
        <v>0</v>
      </c>
      <c r="I415" s="178">
        <v>0</v>
      </c>
      <c r="J415" s="178">
        <v>0</v>
      </c>
      <c r="K415" s="178">
        <v>0</v>
      </c>
      <c r="L415" s="178">
        <v>0</v>
      </c>
      <c r="M415" s="178">
        <v>0</v>
      </c>
      <c r="N415" s="178">
        <v>0</v>
      </c>
      <c r="O415" s="178">
        <v>0</v>
      </c>
      <c r="P415" s="176">
        <f>SUM(C415:O415)</f>
        <v>0</v>
      </c>
      <c r="Q415" s="193"/>
      <c r="T415" s="130"/>
    </row>
    <row r="416" spans="1:20" s="103" customFormat="1" ht="12.75">
      <c r="A416" s="179" t="s">
        <v>440</v>
      </c>
      <c r="B416" s="180" t="s">
        <v>441</v>
      </c>
      <c r="C416" s="178">
        <v>375536.87</v>
      </c>
      <c r="D416" s="178">
        <v>0</v>
      </c>
      <c r="E416" s="178">
        <v>0</v>
      </c>
      <c r="F416" s="178">
        <v>0</v>
      </c>
      <c r="G416" s="178">
        <v>0</v>
      </c>
      <c r="H416" s="178">
        <v>0</v>
      </c>
      <c r="I416" s="178">
        <v>0</v>
      </c>
      <c r="J416" s="178">
        <v>-375536.87</v>
      </c>
      <c r="K416" s="178">
        <v>0</v>
      </c>
      <c r="L416" s="178">
        <v>0</v>
      </c>
      <c r="M416" s="178">
        <v>0</v>
      </c>
      <c r="N416" s="178">
        <v>0</v>
      </c>
      <c r="O416" s="178">
        <v>0</v>
      </c>
      <c r="P416" s="176">
        <f>SUM(C416:O416)</f>
        <v>0</v>
      </c>
      <c r="Q416" s="194"/>
      <c r="R416" s="20"/>
      <c r="T416" s="20"/>
    </row>
    <row r="417" spans="1:20" s="103" customFormat="1" ht="12.75">
      <c r="A417" s="179" t="s">
        <v>545</v>
      </c>
      <c r="B417" s="180" t="s">
        <v>546</v>
      </c>
      <c r="C417" s="178">
        <v>0</v>
      </c>
      <c r="D417" s="178">
        <v>0</v>
      </c>
      <c r="E417" s="178">
        <v>0</v>
      </c>
      <c r="F417" s="178">
        <v>0</v>
      </c>
      <c r="G417" s="178">
        <v>0</v>
      </c>
      <c r="H417" s="178">
        <v>0</v>
      </c>
      <c r="I417" s="178">
        <v>0</v>
      </c>
      <c r="J417" s="178">
        <v>0</v>
      </c>
      <c r="K417" s="178">
        <v>0</v>
      </c>
      <c r="L417" s="178">
        <v>0</v>
      </c>
      <c r="M417" s="178">
        <v>0</v>
      </c>
      <c r="N417" s="178">
        <v>0</v>
      </c>
      <c r="O417" s="178">
        <v>0</v>
      </c>
      <c r="P417" s="176">
        <f>SUM(C417:O417)</f>
        <v>0</v>
      </c>
      <c r="Q417" s="194"/>
      <c r="R417" s="20"/>
      <c r="T417" s="20"/>
    </row>
    <row r="418" spans="1:20" ht="12.75">
      <c r="A418" s="179" t="s">
        <v>442</v>
      </c>
      <c r="B418" s="180" t="s">
        <v>443</v>
      </c>
      <c r="C418" s="178">
        <v>0</v>
      </c>
      <c r="D418" s="178">
        <v>420</v>
      </c>
      <c r="E418" s="178">
        <v>0</v>
      </c>
      <c r="F418" s="178">
        <v>48</v>
      </c>
      <c r="G418" s="178">
        <v>63.64</v>
      </c>
      <c r="H418" s="178">
        <v>48</v>
      </c>
      <c r="I418" s="178">
        <v>96</v>
      </c>
      <c r="J418" s="178">
        <v>354.15</v>
      </c>
      <c r="K418" s="178">
        <v>212.49</v>
      </c>
      <c r="L418" s="178">
        <v>96</v>
      </c>
      <c r="M418" s="178">
        <v>95.26</v>
      </c>
      <c r="N418" s="178">
        <v>144</v>
      </c>
      <c r="O418" s="178">
        <v>0</v>
      </c>
      <c r="P418" s="176">
        <f>SUM(C418:O418)</f>
        <v>1577.54</v>
      </c>
      <c r="Q418" s="177"/>
      <c r="T418" s="130"/>
    </row>
    <row r="419" spans="1:20" ht="12.75">
      <c r="A419" s="179"/>
      <c r="B419" s="174" t="s">
        <v>444</v>
      </c>
      <c r="C419" s="175">
        <f aca="true" t="shared" si="125" ref="C419:P419">SUM(C420)</f>
        <v>11678.63</v>
      </c>
      <c r="D419" s="175">
        <f t="shared" si="125"/>
        <v>18757.82</v>
      </c>
      <c r="E419" s="175">
        <f t="shared" si="125"/>
        <v>47110.8</v>
      </c>
      <c r="F419" s="175">
        <f t="shared" si="125"/>
        <v>48450.99</v>
      </c>
      <c r="G419" s="175">
        <f t="shared" si="125"/>
        <v>50644.17</v>
      </c>
      <c r="H419" s="175">
        <f t="shared" si="125"/>
        <v>39368.9</v>
      </c>
      <c r="I419" s="175">
        <f t="shared" si="125"/>
        <v>50130.61</v>
      </c>
      <c r="J419" s="175">
        <f t="shared" si="125"/>
        <v>51344.99</v>
      </c>
      <c r="K419" s="175">
        <f t="shared" si="125"/>
        <v>57400.12</v>
      </c>
      <c r="L419" s="175">
        <f t="shared" si="125"/>
        <v>51663.04</v>
      </c>
      <c r="M419" s="175">
        <f t="shared" si="125"/>
        <v>57197.38</v>
      </c>
      <c r="N419" s="175">
        <f t="shared" si="125"/>
        <v>54048.3</v>
      </c>
      <c r="O419" s="175">
        <f t="shared" si="125"/>
        <v>30671.48</v>
      </c>
      <c r="P419" s="175">
        <f t="shared" si="125"/>
        <v>568467.23</v>
      </c>
      <c r="Q419" s="177"/>
      <c r="T419" s="130"/>
    </row>
    <row r="420" spans="1:20" ht="12.75">
      <c r="A420" s="179" t="s">
        <v>445</v>
      </c>
      <c r="B420" s="180" t="s">
        <v>446</v>
      </c>
      <c r="C420" s="178">
        <v>11678.63</v>
      </c>
      <c r="D420" s="178">
        <v>18757.82</v>
      </c>
      <c r="E420" s="178">
        <v>47110.8</v>
      </c>
      <c r="F420" s="178">
        <v>48450.99</v>
      </c>
      <c r="G420" s="178">
        <v>50644.17</v>
      </c>
      <c r="H420" s="178">
        <v>39368.9</v>
      </c>
      <c r="I420" s="178">
        <v>50130.61</v>
      </c>
      <c r="J420" s="178">
        <v>51344.99</v>
      </c>
      <c r="K420" s="178">
        <v>57400.12</v>
      </c>
      <c r="L420" s="178">
        <v>51663.04</v>
      </c>
      <c r="M420" s="178">
        <v>57197.38</v>
      </c>
      <c r="N420" s="178">
        <f>84719.78-O420</f>
        <v>54048.3</v>
      </c>
      <c r="O420" s="178">
        <v>30671.48</v>
      </c>
      <c r="P420" s="176">
        <f>SUM(C420:O420)</f>
        <v>568467.23</v>
      </c>
      <c r="Q420" s="177"/>
      <c r="T420" s="130"/>
    </row>
    <row r="421" spans="1:20" ht="12.75">
      <c r="A421" s="179"/>
      <c r="B421" s="174" t="s">
        <v>141</v>
      </c>
      <c r="C421" s="175">
        <f aca="true" t="shared" si="126" ref="C421:P421">SUM(C422)</f>
        <v>0</v>
      </c>
      <c r="D421" s="175">
        <f t="shared" si="126"/>
        <v>0</v>
      </c>
      <c r="E421" s="175">
        <f t="shared" si="126"/>
        <v>0</v>
      </c>
      <c r="F421" s="175">
        <f t="shared" si="126"/>
        <v>0</v>
      </c>
      <c r="G421" s="175">
        <f t="shared" si="126"/>
        <v>0</v>
      </c>
      <c r="H421" s="175">
        <f t="shared" si="126"/>
        <v>0</v>
      </c>
      <c r="I421" s="175">
        <f t="shared" si="126"/>
        <v>0</v>
      </c>
      <c r="J421" s="175">
        <f t="shared" si="126"/>
        <v>0</v>
      </c>
      <c r="K421" s="175">
        <f t="shared" si="126"/>
        <v>0</v>
      </c>
      <c r="L421" s="175">
        <f t="shared" si="126"/>
        <v>0</v>
      </c>
      <c r="M421" s="175">
        <f t="shared" si="126"/>
        <v>0</v>
      </c>
      <c r="N421" s="175">
        <f t="shared" si="126"/>
        <v>0</v>
      </c>
      <c r="O421" s="175">
        <f t="shared" si="126"/>
        <v>0</v>
      </c>
      <c r="P421" s="175">
        <f t="shared" si="126"/>
        <v>0</v>
      </c>
      <c r="Q421" s="177"/>
      <c r="T421" s="130"/>
    </row>
    <row r="422" spans="1:20" ht="12.75">
      <c r="A422" s="179" t="s">
        <v>447</v>
      </c>
      <c r="B422" s="180" t="s">
        <v>448</v>
      </c>
      <c r="C422" s="178">
        <v>0</v>
      </c>
      <c r="D422" s="178">
        <v>0</v>
      </c>
      <c r="E422" s="178">
        <v>0</v>
      </c>
      <c r="F422" s="178">
        <v>0</v>
      </c>
      <c r="G422" s="178">
        <v>0</v>
      </c>
      <c r="H422" s="178">
        <v>0</v>
      </c>
      <c r="I422" s="178">
        <v>0</v>
      </c>
      <c r="J422" s="178">
        <v>0</v>
      </c>
      <c r="K422" s="178">
        <v>0</v>
      </c>
      <c r="L422" s="178">
        <v>0</v>
      </c>
      <c r="M422" s="178">
        <v>0</v>
      </c>
      <c r="N422" s="178">
        <v>0</v>
      </c>
      <c r="O422" s="178">
        <v>0</v>
      </c>
      <c r="P422" s="176">
        <f>SUM(C422:O422)</f>
        <v>0</v>
      </c>
      <c r="Q422" s="177"/>
      <c r="T422" s="130"/>
    </row>
    <row r="423" spans="1:20" ht="12.75">
      <c r="A423" s="179"/>
      <c r="B423" s="174" t="s">
        <v>195</v>
      </c>
      <c r="C423" s="175">
        <f>SUM(C424)</f>
        <v>116863.71</v>
      </c>
      <c r="D423" s="175">
        <f aca="true" t="shared" si="127" ref="D423:P423">SUM(D424)</f>
        <v>19913</v>
      </c>
      <c r="E423" s="175">
        <f t="shared" si="127"/>
        <v>1416</v>
      </c>
      <c r="F423" s="175">
        <f t="shared" si="127"/>
        <v>0</v>
      </c>
      <c r="G423" s="175">
        <f t="shared" si="127"/>
        <v>336</v>
      </c>
      <c r="H423" s="175">
        <f t="shared" si="127"/>
        <v>0</v>
      </c>
      <c r="I423" s="175">
        <f t="shared" si="127"/>
        <v>270</v>
      </c>
      <c r="J423" s="175">
        <f t="shared" si="127"/>
        <v>70</v>
      </c>
      <c r="K423" s="175">
        <f t="shared" si="127"/>
        <v>0</v>
      </c>
      <c r="L423" s="175">
        <f t="shared" si="127"/>
        <v>0</v>
      </c>
      <c r="M423" s="175">
        <f t="shared" si="127"/>
        <v>0</v>
      </c>
      <c r="N423" s="175">
        <f t="shared" si="127"/>
        <v>0</v>
      </c>
      <c r="O423" s="175">
        <f t="shared" si="127"/>
        <v>0</v>
      </c>
      <c r="P423" s="175">
        <f t="shared" si="127"/>
        <v>138868.71000000002</v>
      </c>
      <c r="Q423" s="177"/>
      <c r="T423" s="130"/>
    </row>
    <row r="424" spans="1:20" ht="12.75">
      <c r="A424" s="179" t="s">
        <v>447</v>
      </c>
      <c r="B424" s="180" t="s">
        <v>547</v>
      </c>
      <c r="C424" s="178">
        <v>116863.71</v>
      </c>
      <c r="D424" s="178">
        <v>19913</v>
      </c>
      <c r="E424" s="178">
        <v>1416</v>
      </c>
      <c r="F424" s="178">
        <v>0</v>
      </c>
      <c r="G424" s="178">
        <v>336</v>
      </c>
      <c r="H424" s="178">
        <v>0</v>
      </c>
      <c r="I424" s="178">
        <v>270</v>
      </c>
      <c r="J424" s="178">
        <v>70</v>
      </c>
      <c r="K424" s="178">
        <v>0</v>
      </c>
      <c r="L424" s="178">
        <v>0</v>
      </c>
      <c r="M424" s="178">
        <v>0</v>
      </c>
      <c r="N424" s="178">
        <v>0</v>
      </c>
      <c r="O424" s="178">
        <v>0</v>
      </c>
      <c r="P424" s="176">
        <f>SUM(C424:O424)</f>
        <v>138868.71000000002</v>
      </c>
      <c r="Q424" s="177"/>
      <c r="T424" s="130"/>
    </row>
    <row r="425" spans="1:20" ht="12.75">
      <c r="A425" s="179"/>
      <c r="B425" s="174" t="s">
        <v>449</v>
      </c>
      <c r="C425" s="175">
        <f aca="true" t="shared" si="128" ref="C425:P425">SUM(C426:C427)</f>
        <v>0</v>
      </c>
      <c r="D425" s="175">
        <f t="shared" si="128"/>
        <v>0</v>
      </c>
      <c r="E425" s="175">
        <f t="shared" si="128"/>
        <v>0</v>
      </c>
      <c r="F425" s="175">
        <f t="shared" si="128"/>
        <v>0</v>
      </c>
      <c r="G425" s="175">
        <f t="shared" si="128"/>
        <v>0</v>
      </c>
      <c r="H425" s="175">
        <f t="shared" si="128"/>
        <v>0</v>
      </c>
      <c r="I425" s="175">
        <f t="shared" si="128"/>
        <v>0</v>
      </c>
      <c r="J425" s="175">
        <f t="shared" si="128"/>
        <v>0</v>
      </c>
      <c r="K425" s="175">
        <f t="shared" si="128"/>
        <v>0</v>
      </c>
      <c r="L425" s="175">
        <f t="shared" si="128"/>
        <v>0</v>
      </c>
      <c r="M425" s="175">
        <f t="shared" si="128"/>
        <v>0</v>
      </c>
      <c r="N425" s="175">
        <f t="shared" si="128"/>
        <v>0</v>
      </c>
      <c r="O425" s="175">
        <f t="shared" si="128"/>
        <v>0</v>
      </c>
      <c r="P425" s="175">
        <f t="shared" si="128"/>
        <v>0</v>
      </c>
      <c r="Q425" s="177"/>
      <c r="T425" s="130"/>
    </row>
    <row r="426" spans="1:20" s="103" customFormat="1" ht="12.75">
      <c r="A426" s="179" t="s">
        <v>356</v>
      </c>
      <c r="B426" s="180" t="s">
        <v>450</v>
      </c>
      <c r="C426" s="178">
        <v>0</v>
      </c>
      <c r="D426" s="178">
        <v>0</v>
      </c>
      <c r="E426" s="178">
        <v>0</v>
      </c>
      <c r="F426" s="178">
        <v>0</v>
      </c>
      <c r="G426" s="178">
        <v>0</v>
      </c>
      <c r="H426" s="178">
        <v>0</v>
      </c>
      <c r="I426" s="178">
        <v>0</v>
      </c>
      <c r="J426" s="178">
        <v>0</v>
      </c>
      <c r="K426" s="178">
        <v>0</v>
      </c>
      <c r="L426" s="178">
        <v>0</v>
      </c>
      <c r="M426" s="178">
        <v>0</v>
      </c>
      <c r="N426" s="178">
        <v>0</v>
      </c>
      <c r="O426" s="178">
        <v>0</v>
      </c>
      <c r="P426" s="176">
        <f>SUM(C426:O426)</f>
        <v>0</v>
      </c>
      <c r="Q426" s="177"/>
      <c r="R426" s="20"/>
      <c r="T426" s="20"/>
    </row>
    <row r="427" spans="1:20" ht="13.5" thickBot="1">
      <c r="A427" s="179" t="s">
        <v>392</v>
      </c>
      <c r="B427" s="180" t="s">
        <v>451</v>
      </c>
      <c r="C427" s="178">
        <v>0</v>
      </c>
      <c r="D427" s="178">
        <v>0</v>
      </c>
      <c r="E427" s="178">
        <v>0</v>
      </c>
      <c r="F427" s="178">
        <v>0</v>
      </c>
      <c r="G427" s="178">
        <v>0</v>
      </c>
      <c r="H427" s="178">
        <v>0</v>
      </c>
      <c r="I427" s="178">
        <v>0</v>
      </c>
      <c r="J427" s="178">
        <v>0</v>
      </c>
      <c r="K427" s="178">
        <v>0</v>
      </c>
      <c r="L427" s="178">
        <v>0</v>
      </c>
      <c r="M427" s="178">
        <v>0</v>
      </c>
      <c r="N427" s="178">
        <v>0</v>
      </c>
      <c r="O427" s="178">
        <v>0</v>
      </c>
      <c r="P427" s="176">
        <f>SUM(C427:O427)</f>
        <v>0</v>
      </c>
      <c r="Q427" s="177"/>
      <c r="T427" s="130"/>
    </row>
    <row r="428" spans="1:20" ht="13.5" thickBot="1">
      <c r="A428" s="195"/>
      <c r="B428" s="196" t="s">
        <v>452</v>
      </c>
      <c r="C428" s="197">
        <f>C334+C344+C385+C410+C414+C419+C421+C332+C425+C328+C423</f>
        <v>1288261.15</v>
      </c>
      <c r="D428" s="197">
        <f>D334+D344+D385+D410+D414+D419+D421+D332+D425+D328+D423</f>
        <v>528119.3</v>
      </c>
      <c r="E428" s="197">
        <f>E334+E344+E385+E410+E414+E419+E421+E332+E425+E328+E423</f>
        <v>699344.39</v>
      </c>
      <c r="F428" s="197">
        <f>F334+F344+F385+F410+F414+F419+F421+F332+F425+F328+F423</f>
        <v>594678.5499999999</v>
      </c>
      <c r="G428" s="197">
        <f>G334+G344+G381+G385+G410+G414+G419+G421+G332+G425+G328+G423</f>
        <v>717712.0800000001</v>
      </c>
      <c r="H428" s="197">
        <f>H334+H344+H381+H385+H410+H414+H419+H421+H332+H425+H328+H423</f>
        <v>630922.85</v>
      </c>
      <c r="I428" s="197">
        <f>I334+I344+I381+I385+I410+I414+I419+I421+I332+I425+I328+I423</f>
        <v>1529266.61</v>
      </c>
      <c r="J428" s="197">
        <f>J334+J344+J381+J385+J410+J414+J419+J421+J332+J425+J328+J423</f>
        <v>766009.6699999999</v>
      </c>
      <c r="K428" s="197">
        <f aca="true" t="shared" si="129" ref="K428:P428">K334+K344+K381+K385+K410+K414+K419+K421+K332+K425+K328+K423+K383</f>
        <v>881910.9700000001</v>
      </c>
      <c r="L428" s="197">
        <f t="shared" si="129"/>
        <v>2348613.21</v>
      </c>
      <c r="M428" s="197">
        <f t="shared" si="129"/>
        <v>1930553.48</v>
      </c>
      <c r="N428" s="197">
        <f t="shared" si="129"/>
        <v>2825205.6</v>
      </c>
      <c r="O428" s="197">
        <f t="shared" si="129"/>
        <v>2854715.02</v>
      </c>
      <c r="P428" s="197">
        <f t="shared" si="129"/>
        <v>17595312.88</v>
      </c>
      <c r="Q428" s="177"/>
      <c r="T428" s="130"/>
    </row>
    <row r="429" spans="1:20" ht="13.5" thickBot="1">
      <c r="A429" s="111"/>
      <c r="B429" s="111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40"/>
      <c r="T429" s="130"/>
    </row>
    <row r="430" spans="1:20" ht="13.5" thickBot="1">
      <c r="A430" s="111"/>
      <c r="B430" s="142" t="s">
        <v>453</v>
      </c>
      <c r="C430" s="143" t="e">
        <f aca="true" t="shared" si="130" ref="C430:J430">C61+C70+C78+C81+C85+C95+C110+C120+C127+C134+C141+C152+C178+C190+C201+C215+C227+C242+C245+C249+C254+C268+C277+C318+C325+C428+C260</f>
        <v>#REF!</v>
      </c>
      <c r="D430" s="143" t="e">
        <f t="shared" si="130"/>
        <v>#REF!</v>
      </c>
      <c r="E430" s="143">
        <f t="shared" si="130"/>
        <v>6298761.709999997</v>
      </c>
      <c r="F430" s="143">
        <f t="shared" si="130"/>
        <v>8598768.83</v>
      </c>
      <c r="G430" s="143">
        <f t="shared" si="130"/>
        <v>7585876.130000001</v>
      </c>
      <c r="H430" s="143">
        <f t="shared" si="130"/>
        <v>11775490.459999995</v>
      </c>
      <c r="I430" s="143">
        <f t="shared" si="130"/>
        <v>8067160.2700000005</v>
      </c>
      <c r="J430" s="143">
        <f t="shared" si="130"/>
        <v>7344930.9</v>
      </c>
      <c r="K430" s="143">
        <f aca="true" t="shared" si="131" ref="K430:P430">K61+K70+K78+K81+K85+K95+K110+K120+K127+K134+K141+K152+K178+K190+K201+K215+K227+K242+K245+K249+K268+K277+K318+K325+K428+K260</f>
        <v>8159256.43</v>
      </c>
      <c r="L430" s="143">
        <f t="shared" si="131"/>
        <v>11362567.23</v>
      </c>
      <c r="M430" s="143">
        <f t="shared" si="131"/>
        <v>13279671.31</v>
      </c>
      <c r="N430" s="143">
        <f t="shared" si="131"/>
        <v>10407872.43</v>
      </c>
      <c r="O430" s="143">
        <f t="shared" si="131"/>
        <v>8846143.26</v>
      </c>
      <c r="P430" s="143">
        <f t="shared" si="131"/>
        <v>113262033.29</v>
      </c>
      <c r="Q430" s="128"/>
      <c r="R430" s="205"/>
      <c r="S430" s="128"/>
      <c r="T430" s="130"/>
    </row>
    <row r="431" spans="1:20" ht="12.75">
      <c r="A431" s="111"/>
      <c r="B431" s="111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40"/>
      <c r="T431" s="130"/>
    </row>
    <row r="432" spans="1:20" ht="13.5" thickBot="1">
      <c r="A432" s="111"/>
      <c r="B432" s="111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40"/>
      <c r="T432" s="130"/>
    </row>
    <row r="433" spans="1:20" ht="13.5" thickBot="1">
      <c r="A433" s="111"/>
      <c r="B433" s="141" t="s">
        <v>454</v>
      </c>
      <c r="C433" s="143" t="e">
        <f aca="true" t="shared" si="132" ref="C433:P433">C55+C430</f>
        <v>#REF!</v>
      </c>
      <c r="D433" s="143" t="e">
        <f t="shared" si="132"/>
        <v>#REF!</v>
      </c>
      <c r="E433" s="143">
        <f t="shared" si="132"/>
        <v>62305077.64999999</v>
      </c>
      <c r="F433" s="143">
        <f t="shared" si="132"/>
        <v>64523765.20999999</v>
      </c>
      <c r="G433" s="143">
        <f t="shared" si="132"/>
        <v>76356747.48</v>
      </c>
      <c r="H433" s="143">
        <f t="shared" si="132"/>
        <v>67130986.98</v>
      </c>
      <c r="I433" s="143">
        <f t="shared" si="132"/>
        <v>63416483.30000001</v>
      </c>
      <c r="J433" s="143">
        <f t="shared" si="132"/>
        <v>63070874.33999999</v>
      </c>
      <c r="K433" s="143">
        <f t="shared" si="132"/>
        <v>64668171.29999999</v>
      </c>
      <c r="L433" s="143">
        <f t="shared" si="132"/>
        <v>68338860.54</v>
      </c>
      <c r="M433" s="143">
        <f t="shared" si="132"/>
        <v>99541610.65</v>
      </c>
      <c r="N433" s="143">
        <f t="shared" si="132"/>
        <v>66126050.53</v>
      </c>
      <c r="O433" s="143">
        <f t="shared" si="132"/>
        <v>10687570.53</v>
      </c>
      <c r="P433" s="143">
        <f t="shared" si="132"/>
        <v>843770960.8999999</v>
      </c>
      <c r="T433" s="130"/>
    </row>
    <row r="434" spans="3:20" s="111" customFormat="1" ht="12.75"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40"/>
      <c r="R434" s="219"/>
      <c r="T434" s="147"/>
    </row>
    <row r="435" spans="3:20" s="111" customFormat="1" ht="12.75"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40"/>
      <c r="R435" s="219"/>
      <c r="T435" s="147"/>
    </row>
    <row r="436" spans="1:20" ht="12.75">
      <c r="A436" s="104" t="s">
        <v>31</v>
      </c>
      <c r="B436" s="111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40"/>
      <c r="T436" s="130"/>
    </row>
    <row r="437" spans="1:20" ht="13.5" thickBot="1">
      <c r="A437" s="111"/>
      <c r="B437" s="111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40"/>
      <c r="T437" s="130"/>
    </row>
    <row r="438" spans="1:20" ht="13.5" thickBot="1">
      <c r="A438" s="198" t="s">
        <v>101</v>
      </c>
      <c r="B438" s="199" t="s">
        <v>102</v>
      </c>
      <c r="C438" s="108">
        <v>41640</v>
      </c>
      <c r="D438" s="108">
        <v>41671</v>
      </c>
      <c r="E438" s="108">
        <v>41699</v>
      </c>
      <c r="F438" s="108">
        <v>41730</v>
      </c>
      <c r="G438" s="108">
        <v>41760</v>
      </c>
      <c r="H438" s="108">
        <v>41791</v>
      </c>
      <c r="I438" s="108">
        <v>41821</v>
      </c>
      <c r="J438" s="108">
        <v>41852</v>
      </c>
      <c r="K438" s="108">
        <v>41883</v>
      </c>
      <c r="L438" s="108">
        <v>41913</v>
      </c>
      <c r="M438" s="108">
        <v>41944</v>
      </c>
      <c r="N438" s="108">
        <v>41974</v>
      </c>
      <c r="O438" s="108" t="s">
        <v>556</v>
      </c>
      <c r="P438" s="109" t="s">
        <v>557</v>
      </c>
      <c r="T438" s="130"/>
    </row>
    <row r="439" spans="1:20" ht="12.75">
      <c r="A439" s="112"/>
      <c r="B439" s="116" t="s">
        <v>455</v>
      </c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40"/>
      <c r="T439" s="130"/>
    </row>
    <row r="440" spans="1:20" ht="12.75">
      <c r="A440" s="115"/>
      <c r="B440" s="116" t="s">
        <v>456</v>
      </c>
      <c r="C440" s="117">
        <f aca="true" t="shared" si="133" ref="C440:P440">SUM(C441:C443)</f>
        <v>0</v>
      </c>
      <c r="D440" s="117">
        <f t="shared" si="133"/>
        <v>0</v>
      </c>
      <c r="E440" s="117">
        <f t="shared" si="133"/>
        <v>0</v>
      </c>
      <c r="F440" s="117">
        <f t="shared" si="133"/>
        <v>0</v>
      </c>
      <c r="G440" s="117">
        <f t="shared" si="133"/>
        <v>137574.76</v>
      </c>
      <c r="H440" s="117">
        <f t="shared" si="133"/>
        <v>42653.2</v>
      </c>
      <c r="I440" s="117">
        <f t="shared" si="133"/>
        <v>70369.23</v>
      </c>
      <c r="J440" s="117">
        <f t="shared" si="133"/>
        <v>144586.21</v>
      </c>
      <c r="K440" s="117">
        <f t="shared" si="133"/>
        <v>31233.33</v>
      </c>
      <c r="L440" s="117">
        <f t="shared" si="133"/>
        <v>0</v>
      </c>
      <c r="M440" s="117">
        <f t="shared" si="133"/>
        <v>43758</v>
      </c>
      <c r="N440" s="117">
        <f t="shared" si="133"/>
        <v>42057.139999999985</v>
      </c>
      <c r="O440" s="117">
        <f t="shared" si="133"/>
        <v>4645796.44</v>
      </c>
      <c r="P440" s="117">
        <f t="shared" si="133"/>
        <v>5158028.3100000005</v>
      </c>
      <c r="T440" s="130"/>
    </row>
    <row r="441" spans="1:20" ht="12.75">
      <c r="A441" s="123" t="s">
        <v>2</v>
      </c>
      <c r="B441" s="119" t="s">
        <v>457</v>
      </c>
      <c r="C441" s="120">
        <v>0</v>
      </c>
      <c r="D441" s="120">
        <v>0</v>
      </c>
      <c r="E441" s="120">
        <v>0</v>
      </c>
      <c r="F441" s="120">
        <v>0</v>
      </c>
      <c r="G441" s="120">
        <v>2396.56</v>
      </c>
      <c r="H441" s="120">
        <v>0</v>
      </c>
      <c r="I441" s="120">
        <v>16253.9</v>
      </c>
      <c r="J441" s="120">
        <v>110700</v>
      </c>
      <c r="K441" s="120">
        <v>0</v>
      </c>
      <c r="L441" s="120">
        <v>0</v>
      </c>
      <c r="M441" s="120">
        <v>0</v>
      </c>
      <c r="N441" s="120">
        <f>219200.59-O441</f>
        <v>42057.139999999985</v>
      </c>
      <c r="O441" s="120">
        <v>177143.45</v>
      </c>
      <c r="P441" s="122">
        <f>SUM(C441:O441)</f>
        <v>348551.05</v>
      </c>
      <c r="T441" s="130"/>
    </row>
    <row r="442" spans="1:20" ht="12.75">
      <c r="A442" s="118"/>
      <c r="B442" s="119" t="s">
        <v>458</v>
      </c>
      <c r="C442" s="120">
        <v>0</v>
      </c>
      <c r="D442" s="120">
        <v>0</v>
      </c>
      <c r="E442" s="120">
        <v>0</v>
      </c>
      <c r="F442" s="120">
        <v>0</v>
      </c>
      <c r="G442" s="120">
        <v>135178.2</v>
      </c>
      <c r="H442" s="120">
        <v>42653.2</v>
      </c>
      <c r="I442" s="120">
        <v>54115.33</v>
      </c>
      <c r="J442" s="120">
        <v>33886.21</v>
      </c>
      <c r="K442" s="120">
        <v>31233.33</v>
      </c>
      <c r="L442" s="120">
        <v>0</v>
      </c>
      <c r="M442" s="120">
        <v>43758</v>
      </c>
      <c r="N442" s="120">
        <f>4468652.99-O442</f>
        <v>0</v>
      </c>
      <c r="O442" s="120">
        <f>689810.99+3107000+671842</f>
        <v>4468652.99</v>
      </c>
      <c r="P442" s="122">
        <f>SUM(C442:O442)</f>
        <v>4809477.260000001</v>
      </c>
      <c r="T442" s="130"/>
    </row>
    <row r="443" spans="1:20" ht="12.75">
      <c r="A443" s="118"/>
      <c r="B443" s="119" t="s">
        <v>459</v>
      </c>
      <c r="C443" s="120">
        <v>0</v>
      </c>
      <c r="D443" s="120">
        <v>0</v>
      </c>
      <c r="E443" s="120">
        <v>0</v>
      </c>
      <c r="F443" s="120">
        <v>0</v>
      </c>
      <c r="G443" s="120">
        <v>0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20">
        <v>0</v>
      </c>
      <c r="N443" s="120">
        <v>0</v>
      </c>
      <c r="O443" s="120">
        <v>0</v>
      </c>
      <c r="P443" s="122">
        <f>SUM(C443:O443)</f>
        <v>0</v>
      </c>
      <c r="T443" s="130"/>
    </row>
    <row r="444" spans="1:20" ht="12.75">
      <c r="A444" s="118"/>
      <c r="B444" s="116" t="s">
        <v>460</v>
      </c>
      <c r="C444" s="117">
        <f aca="true" t="shared" si="134" ref="C444:P444">SUM(C445)</f>
        <v>0</v>
      </c>
      <c r="D444" s="117">
        <f t="shared" si="134"/>
        <v>0</v>
      </c>
      <c r="E444" s="117">
        <f t="shared" si="134"/>
        <v>0</v>
      </c>
      <c r="F444" s="117">
        <f t="shared" si="134"/>
        <v>0</v>
      </c>
      <c r="G444" s="117">
        <f t="shared" si="134"/>
        <v>0</v>
      </c>
      <c r="H444" s="117">
        <f t="shared" si="134"/>
        <v>0</v>
      </c>
      <c r="I444" s="117">
        <f t="shared" si="134"/>
        <v>0</v>
      </c>
      <c r="J444" s="117">
        <f t="shared" si="134"/>
        <v>0</v>
      </c>
      <c r="K444" s="117">
        <f t="shared" si="134"/>
        <v>0</v>
      </c>
      <c r="L444" s="117">
        <f t="shared" si="134"/>
        <v>0</v>
      </c>
      <c r="M444" s="117">
        <f t="shared" si="134"/>
        <v>0</v>
      </c>
      <c r="N444" s="117">
        <f t="shared" si="134"/>
        <v>0</v>
      </c>
      <c r="O444" s="117">
        <f t="shared" si="134"/>
        <v>0</v>
      </c>
      <c r="P444" s="117">
        <f t="shared" si="134"/>
        <v>0</v>
      </c>
      <c r="T444" s="130"/>
    </row>
    <row r="445" spans="1:20" ht="12.75">
      <c r="A445" s="118"/>
      <c r="B445" s="119" t="s">
        <v>461</v>
      </c>
      <c r="C445" s="120">
        <v>0</v>
      </c>
      <c r="D445" s="120">
        <v>0</v>
      </c>
      <c r="E445" s="120">
        <v>0</v>
      </c>
      <c r="F445" s="120">
        <v>0</v>
      </c>
      <c r="G445" s="120">
        <v>0</v>
      </c>
      <c r="H445" s="120">
        <v>0</v>
      </c>
      <c r="I445" s="120">
        <v>0</v>
      </c>
      <c r="J445" s="120">
        <v>0</v>
      </c>
      <c r="K445" s="120">
        <v>0</v>
      </c>
      <c r="L445" s="121">
        <v>0</v>
      </c>
      <c r="M445" s="120">
        <v>0</v>
      </c>
      <c r="N445" s="120">
        <v>0</v>
      </c>
      <c r="O445" s="120">
        <v>0</v>
      </c>
      <c r="P445" s="122">
        <f>SUM(C445:O445)</f>
        <v>0</v>
      </c>
      <c r="T445" s="130"/>
    </row>
    <row r="446" spans="1:20" ht="13.5" thickBot="1">
      <c r="A446" s="154"/>
      <c r="B446" s="116" t="s">
        <v>462</v>
      </c>
      <c r="C446" s="117">
        <f aca="true" t="shared" si="135" ref="C446:P446">C440+C444</f>
        <v>0</v>
      </c>
      <c r="D446" s="117">
        <f t="shared" si="135"/>
        <v>0</v>
      </c>
      <c r="E446" s="117">
        <f t="shared" si="135"/>
        <v>0</v>
      </c>
      <c r="F446" s="117">
        <f t="shared" si="135"/>
        <v>0</v>
      </c>
      <c r="G446" s="117">
        <f t="shared" si="135"/>
        <v>137574.76</v>
      </c>
      <c r="H446" s="117">
        <f t="shared" si="135"/>
        <v>42653.2</v>
      </c>
      <c r="I446" s="117">
        <f t="shared" si="135"/>
        <v>70369.23</v>
      </c>
      <c r="J446" s="117">
        <f t="shared" si="135"/>
        <v>144586.21</v>
      </c>
      <c r="K446" s="117">
        <f t="shared" si="135"/>
        <v>31233.33</v>
      </c>
      <c r="L446" s="117">
        <f t="shared" si="135"/>
        <v>0</v>
      </c>
      <c r="M446" s="117">
        <f t="shared" si="135"/>
        <v>43758</v>
      </c>
      <c r="N446" s="117">
        <f t="shared" si="135"/>
        <v>42057.139999999985</v>
      </c>
      <c r="O446" s="117">
        <f t="shared" si="135"/>
        <v>4645796.44</v>
      </c>
      <c r="P446" s="117">
        <f t="shared" si="135"/>
        <v>5158028.3100000005</v>
      </c>
      <c r="T446" s="130"/>
    </row>
    <row r="447" spans="1:20" ht="13.5" thickBot="1">
      <c r="A447" s="111"/>
      <c r="B447" s="111"/>
      <c r="C447" s="139"/>
      <c r="D447" s="139"/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40"/>
      <c r="T447" s="130"/>
    </row>
    <row r="448" spans="1:20" ht="12.75">
      <c r="A448" s="157"/>
      <c r="B448" s="116" t="s">
        <v>463</v>
      </c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22"/>
      <c r="T448" s="130"/>
    </row>
    <row r="449" spans="1:20" ht="12.75">
      <c r="A449" s="123" t="s">
        <v>3</v>
      </c>
      <c r="B449" s="116" t="s">
        <v>464</v>
      </c>
      <c r="C449" s="117">
        <f aca="true" t="shared" si="136" ref="C449:J449">SUM(C450)</f>
        <v>0</v>
      </c>
      <c r="D449" s="117">
        <f t="shared" si="136"/>
        <v>41998</v>
      </c>
      <c r="E449" s="117">
        <f t="shared" si="136"/>
        <v>101000</v>
      </c>
      <c r="F449" s="117">
        <f t="shared" si="136"/>
        <v>0</v>
      </c>
      <c r="G449" s="117">
        <f t="shared" si="136"/>
        <v>0</v>
      </c>
      <c r="H449" s="117">
        <f t="shared" si="136"/>
        <v>126600</v>
      </c>
      <c r="I449" s="117">
        <v>0</v>
      </c>
      <c r="J449" s="117">
        <f t="shared" si="136"/>
        <v>0</v>
      </c>
      <c r="K449" s="117">
        <v>0</v>
      </c>
      <c r="L449" s="117">
        <f>SUM(L450)</f>
        <v>0</v>
      </c>
      <c r="M449" s="117">
        <f>SUM(M450)</f>
        <v>83000</v>
      </c>
      <c r="N449" s="117">
        <f>SUM(N450)</f>
        <v>0</v>
      </c>
      <c r="O449" s="117">
        <f>SUM(O450)</f>
        <v>616499</v>
      </c>
      <c r="P449" s="117">
        <f>SUM(P450)</f>
        <v>969097</v>
      </c>
      <c r="T449" s="130"/>
    </row>
    <row r="450" spans="1:20" ht="13.5" thickBot="1">
      <c r="A450" s="154"/>
      <c r="B450" s="119" t="s">
        <v>465</v>
      </c>
      <c r="C450" s="120">
        <v>0</v>
      </c>
      <c r="D450" s="120">
        <v>41998</v>
      </c>
      <c r="E450" s="120">
        <v>101000</v>
      </c>
      <c r="F450" s="120">
        <v>0</v>
      </c>
      <c r="G450" s="120">
        <v>0</v>
      </c>
      <c r="H450" s="120">
        <v>126600</v>
      </c>
      <c r="I450" s="120">
        <v>0</v>
      </c>
      <c r="J450" s="120">
        <v>0</v>
      </c>
      <c r="K450" s="120">
        <v>0</v>
      </c>
      <c r="L450" s="120">
        <v>0</v>
      </c>
      <c r="M450" s="120">
        <v>83000</v>
      </c>
      <c r="N450" s="120">
        <f>616499-O450</f>
        <v>0</v>
      </c>
      <c r="O450" s="120">
        <v>616499</v>
      </c>
      <c r="P450" s="122">
        <f>SUM(C450:O450)</f>
        <v>969097</v>
      </c>
      <c r="T450" s="130"/>
    </row>
    <row r="451" spans="1:20" ht="13.5" thickBot="1">
      <c r="A451" s="111"/>
      <c r="B451" s="111"/>
      <c r="C451" s="139"/>
      <c r="D451" s="139"/>
      <c r="E451" s="139"/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40"/>
      <c r="T451" s="130"/>
    </row>
    <row r="452" spans="1:20" ht="12.75">
      <c r="A452" s="200"/>
      <c r="B452" s="116" t="s">
        <v>466</v>
      </c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22"/>
      <c r="T452" s="130"/>
    </row>
    <row r="453" spans="1:20" ht="12.75">
      <c r="A453" s="123" t="s">
        <v>4</v>
      </c>
      <c r="B453" s="116" t="s">
        <v>464</v>
      </c>
      <c r="C453" s="117">
        <f aca="true" t="shared" si="137" ref="C453:P453">SUM(C454)</f>
        <v>0</v>
      </c>
      <c r="D453" s="117">
        <f t="shared" si="137"/>
        <v>0</v>
      </c>
      <c r="E453" s="117">
        <f t="shared" si="137"/>
        <v>0</v>
      </c>
      <c r="F453" s="117">
        <f t="shared" si="137"/>
        <v>2921.28</v>
      </c>
      <c r="G453" s="117">
        <f t="shared" si="137"/>
        <v>1760</v>
      </c>
      <c r="H453" s="117">
        <f t="shared" si="137"/>
        <v>0</v>
      </c>
      <c r="I453" s="117">
        <f t="shared" si="137"/>
        <v>0</v>
      </c>
      <c r="J453" s="117">
        <f t="shared" si="137"/>
        <v>0</v>
      </c>
      <c r="K453" s="117">
        <f t="shared" si="137"/>
        <v>382752.95</v>
      </c>
      <c r="L453" s="117">
        <f t="shared" si="137"/>
        <v>0</v>
      </c>
      <c r="M453" s="117">
        <f t="shared" si="137"/>
        <v>1408075.72</v>
      </c>
      <c r="N453" s="117">
        <f t="shared" si="137"/>
        <v>0</v>
      </c>
      <c r="O453" s="117">
        <f t="shared" si="137"/>
        <v>244563.32</v>
      </c>
      <c r="P453" s="117">
        <f t="shared" si="137"/>
        <v>2040073.27</v>
      </c>
      <c r="T453" s="130"/>
    </row>
    <row r="454" spans="1:20" ht="13.5" thickBot="1">
      <c r="A454" s="154"/>
      <c r="B454" s="119" t="s">
        <v>467</v>
      </c>
      <c r="C454" s="120">
        <v>0</v>
      </c>
      <c r="D454" s="120">
        <v>0</v>
      </c>
      <c r="E454" s="120">
        <v>0</v>
      </c>
      <c r="F454" s="120">
        <v>2921.28</v>
      </c>
      <c r="G454" s="120">
        <v>1760</v>
      </c>
      <c r="H454" s="120">
        <v>0</v>
      </c>
      <c r="I454" s="120">
        <v>0</v>
      </c>
      <c r="J454" s="120">
        <v>0</v>
      </c>
      <c r="K454" s="120">
        <v>382752.95</v>
      </c>
      <c r="L454" s="120">
        <v>0</v>
      </c>
      <c r="M454" s="120">
        <v>1408075.72</v>
      </c>
      <c r="N454" s="120">
        <f>244563.32-O454</f>
        <v>0</v>
      </c>
      <c r="O454" s="120">
        <f>120000+91630+32933.32</f>
        <v>244563.32</v>
      </c>
      <c r="P454" s="122">
        <f>SUM(C454:O454)</f>
        <v>2040073.27</v>
      </c>
      <c r="T454" s="130"/>
    </row>
    <row r="455" spans="1:20" ht="13.5" thickBot="1">
      <c r="A455" s="111"/>
      <c r="B455" s="111"/>
      <c r="C455" s="139"/>
      <c r="D455" s="139"/>
      <c r="E455" s="139"/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40"/>
      <c r="T455" s="130"/>
    </row>
    <row r="456" spans="1:20" ht="12.75">
      <c r="A456" s="200"/>
      <c r="B456" s="116" t="s">
        <v>468</v>
      </c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22"/>
      <c r="T456" s="130"/>
    </row>
    <row r="457" spans="1:20" ht="12.75">
      <c r="A457" s="123" t="s">
        <v>5</v>
      </c>
      <c r="B457" s="116" t="s">
        <v>216</v>
      </c>
      <c r="C457" s="117">
        <f aca="true" t="shared" si="138" ref="C457:P457">SUM(C458)</f>
        <v>0</v>
      </c>
      <c r="D457" s="117">
        <f t="shared" si="138"/>
        <v>0</v>
      </c>
      <c r="E457" s="117">
        <f t="shared" si="138"/>
        <v>0</v>
      </c>
      <c r="F457" s="117">
        <f t="shared" si="138"/>
        <v>0</v>
      </c>
      <c r="G457" s="117">
        <f t="shared" si="138"/>
        <v>0</v>
      </c>
      <c r="H457" s="117">
        <f t="shared" si="138"/>
        <v>0</v>
      </c>
      <c r="I457" s="117">
        <f t="shared" si="138"/>
        <v>0</v>
      </c>
      <c r="J457" s="117">
        <f t="shared" si="138"/>
        <v>818830.88</v>
      </c>
      <c r="K457" s="117">
        <f t="shared" si="138"/>
        <v>0</v>
      </c>
      <c r="L457" s="117">
        <f t="shared" si="138"/>
        <v>50600</v>
      </c>
      <c r="M457" s="117">
        <f t="shared" si="138"/>
        <v>307692.5</v>
      </c>
      <c r="N457" s="117">
        <f t="shared" si="138"/>
        <v>0</v>
      </c>
      <c r="O457" s="117">
        <f t="shared" si="138"/>
        <v>1923490.4</v>
      </c>
      <c r="P457" s="117">
        <f t="shared" si="138"/>
        <v>3100613.78</v>
      </c>
      <c r="T457" s="130"/>
    </row>
    <row r="458" spans="1:20" ht="13.5" thickBot="1">
      <c r="A458" s="154"/>
      <c r="B458" s="119" t="s">
        <v>217</v>
      </c>
      <c r="C458" s="120">
        <v>0</v>
      </c>
      <c r="D458" s="120">
        <v>0</v>
      </c>
      <c r="E458" s="120">
        <v>0</v>
      </c>
      <c r="F458" s="120">
        <v>0</v>
      </c>
      <c r="G458" s="120">
        <v>0</v>
      </c>
      <c r="H458" s="120">
        <v>0</v>
      </c>
      <c r="I458" s="120">
        <v>0</v>
      </c>
      <c r="J458" s="120">
        <f>771930.89+46899.99</f>
        <v>818830.88</v>
      </c>
      <c r="K458" s="120">
        <v>0</v>
      </c>
      <c r="L458" s="120">
        <v>50600</v>
      </c>
      <c r="M458" s="120">
        <v>307692.5</v>
      </c>
      <c r="N458" s="120">
        <f>1923490.4-O458</f>
        <v>0</v>
      </c>
      <c r="O458" s="120">
        <f>889620.3+343215.1+325326+365329</f>
        <v>1923490.4</v>
      </c>
      <c r="P458" s="122">
        <f>SUM(C458:O458)</f>
        <v>3100613.78</v>
      </c>
      <c r="T458" s="130"/>
    </row>
    <row r="459" spans="1:20" ht="13.5" thickBot="1">
      <c r="A459" s="111"/>
      <c r="B459" s="127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40"/>
      <c r="T459" s="130"/>
    </row>
    <row r="460" spans="1:20" ht="13.5" thickBot="1">
      <c r="A460" s="160" t="s">
        <v>7</v>
      </c>
      <c r="B460" s="116" t="s">
        <v>469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22"/>
      <c r="T460" s="130"/>
    </row>
    <row r="461" spans="1:20" ht="12.75">
      <c r="A461" s="201"/>
      <c r="B461" s="162" t="s">
        <v>464</v>
      </c>
      <c r="C461" s="117">
        <f aca="true" t="shared" si="139" ref="C461:P461">SUM(C462:C480)</f>
        <v>0</v>
      </c>
      <c r="D461" s="117">
        <f t="shared" si="139"/>
        <v>50725.02</v>
      </c>
      <c r="E461" s="117">
        <f t="shared" si="139"/>
        <v>23772.81</v>
      </c>
      <c r="F461" s="117">
        <f t="shared" si="139"/>
        <v>20229</v>
      </c>
      <c r="G461" s="117">
        <f t="shared" si="139"/>
        <v>123730.71</v>
      </c>
      <c r="H461" s="117">
        <f t="shared" si="139"/>
        <v>45241.66</v>
      </c>
      <c r="I461" s="117">
        <f t="shared" si="139"/>
        <v>47951.58</v>
      </c>
      <c r="J461" s="117">
        <f t="shared" si="139"/>
        <v>154301.11</v>
      </c>
      <c r="K461" s="117">
        <f t="shared" si="139"/>
        <v>242988.36</v>
      </c>
      <c r="L461" s="117">
        <f t="shared" si="139"/>
        <v>126189.87999999999</v>
      </c>
      <c r="M461" s="117">
        <f t="shared" si="139"/>
        <v>100942.28</v>
      </c>
      <c r="N461" s="117">
        <f t="shared" si="139"/>
        <v>251061.28000000006</v>
      </c>
      <c r="O461" s="117">
        <f t="shared" si="139"/>
        <v>835857.9</v>
      </c>
      <c r="P461" s="117">
        <f t="shared" si="139"/>
        <v>2022991.59</v>
      </c>
      <c r="T461" s="130"/>
    </row>
    <row r="462" spans="1:20" ht="12.75">
      <c r="A462" s="164" t="s">
        <v>470</v>
      </c>
      <c r="B462" s="164" t="s">
        <v>471</v>
      </c>
      <c r="C462" s="133">
        <v>0</v>
      </c>
      <c r="D462" s="133">
        <v>0</v>
      </c>
      <c r="E462" s="133">
        <v>0</v>
      </c>
      <c r="F462" s="133">
        <v>782</v>
      </c>
      <c r="G462" s="133">
        <v>4550.49</v>
      </c>
      <c r="H462" s="133">
        <v>1415</v>
      </c>
      <c r="I462" s="133">
        <v>0</v>
      </c>
      <c r="J462" s="133">
        <v>0</v>
      </c>
      <c r="K462" s="133">
        <v>0</v>
      </c>
      <c r="L462" s="133">
        <v>0</v>
      </c>
      <c r="M462" s="133">
        <v>23070</v>
      </c>
      <c r="N462" s="133">
        <f>70.98-O462</f>
        <v>0</v>
      </c>
      <c r="O462" s="133">
        <v>70.98</v>
      </c>
      <c r="P462" s="122">
        <f aca="true" t="shared" si="140" ref="P462:P480">SUM(C462:O462)</f>
        <v>29888.469999999998</v>
      </c>
      <c r="T462" s="130"/>
    </row>
    <row r="463" spans="1:20" ht="12.75">
      <c r="A463" s="164" t="s">
        <v>472</v>
      </c>
      <c r="B463" s="164" t="s">
        <v>473</v>
      </c>
      <c r="C463" s="133">
        <v>0</v>
      </c>
      <c r="D463" s="133">
        <v>4386</v>
      </c>
      <c r="E463" s="133">
        <v>2360</v>
      </c>
      <c r="F463" s="133">
        <v>0</v>
      </c>
      <c r="G463" s="133">
        <v>0</v>
      </c>
      <c r="H463" s="133">
        <v>0</v>
      </c>
      <c r="I463" s="133">
        <v>0</v>
      </c>
      <c r="J463" s="133">
        <v>0</v>
      </c>
      <c r="K463" s="133">
        <v>5502.96</v>
      </c>
      <c r="L463" s="133">
        <v>0</v>
      </c>
      <c r="M463" s="133">
        <v>0</v>
      </c>
      <c r="N463" s="133">
        <v>0</v>
      </c>
      <c r="O463" s="133"/>
      <c r="P463" s="122">
        <f t="shared" si="140"/>
        <v>12248.96</v>
      </c>
      <c r="T463" s="130"/>
    </row>
    <row r="464" spans="1:20" ht="12.75">
      <c r="A464" s="164" t="s">
        <v>474</v>
      </c>
      <c r="B464" s="164" t="s">
        <v>475</v>
      </c>
      <c r="C464" s="133">
        <v>0</v>
      </c>
      <c r="D464" s="133">
        <v>0</v>
      </c>
      <c r="E464" s="133">
        <v>0</v>
      </c>
      <c r="F464" s="133">
        <v>558</v>
      </c>
      <c r="G464" s="133">
        <v>0</v>
      </c>
      <c r="H464" s="133">
        <v>0</v>
      </c>
      <c r="I464" s="133">
        <v>0</v>
      </c>
      <c r="J464" s="133">
        <v>0</v>
      </c>
      <c r="K464" s="133">
        <v>1537.2</v>
      </c>
      <c r="L464" s="133">
        <v>0</v>
      </c>
      <c r="M464" s="133">
        <v>0</v>
      </c>
      <c r="N464" s="133">
        <v>0</v>
      </c>
      <c r="O464" s="133"/>
      <c r="P464" s="122">
        <f t="shared" si="140"/>
        <v>2095.2</v>
      </c>
      <c r="T464" s="130"/>
    </row>
    <row r="465" spans="1:20" ht="12.75">
      <c r="A465" s="164" t="s">
        <v>476</v>
      </c>
      <c r="B465" s="164" t="s">
        <v>477</v>
      </c>
      <c r="C465" s="133">
        <v>0</v>
      </c>
      <c r="D465" s="133">
        <v>42069.13</v>
      </c>
      <c r="E465" s="133">
        <v>0</v>
      </c>
      <c r="F465" s="133">
        <v>9840</v>
      </c>
      <c r="G465" s="133">
        <v>45189.13</v>
      </c>
      <c r="H465" s="133">
        <v>1425.1</v>
      </c>
      <c r="I465" s="133">
        <v>10822.75</v>
      </c>
      <c r="J465" s="133">
        <v>9603.9</v>
      </c>
      <c r="K465" s="133">
        <v>84534.7</v>
      </c>
      <c r="L465" s="133">
        <v>78042.9</v>
      </c>
      <c r="M465" s="133">
        <v>0</v>
      </c>
      <c r="N465" s="133">
        <f>228210.1-O465</f>
        <v>24506</v>
      </c>
      <c r="O465" s="133">
        <f>11469.98+192234.12</f>
        <v>203704.1</v>
      </c>
      <c r="P465" s="122">
        <f t="shared" si="140"/>
        <v>509737.70999999996</v>
      </c>
      <c r="T465" s="130"/>
    </row>
    <row r="466" spans="1:20" ht="12.75">
      <c r="A466" s="164" t="s">
        <v>478</v>
      </c>
      <c r="B466" s="164" t="s">
        <v>479</v>
      </c>
      <c r="C466" s="133">
        <v>0</v>
      </c>
      <c r="D466" s="133">
        <v>0</v>
      </c>
      <c r="E466" s="133">
        <v>0</v>
      </c>
      <c r="F466" s="133">
        <v>0</v>
      </c>
      <c r="G466" s="133">
        <v>0</v>
      </c>
      <c r="H466" s="133">
        <v>0</v>
      </c>
      <c r="I466" s="133">
        <v>0</v>
      </c>
      <c r="J466" s="133">
        <v>0</v>
      </c>
      <c r="K466" s="133">
        <v>0</v>
      </c>
      <c r="L466" s="133">
        <v>0</v>
      </c>
      <c r="M466" s="133">
        <v>0</v>
      </c>
      <c r="N466" s="133">
        <v>0</v>
      </c>
      <c r="O466" s="133"/>
      <c r="P466" s="122">
        <f t="shared" si="140"/>
        <v>0</v>
      </c>
      <c r="T466" s="130"/>
    </row>
    <row r="467" spans="1:20" ht="12.75">
      <c r="A467" s="165" t="s">
        <v>480</v>
      </c>
      <c r="B467" s="164" t="s">
        <v>481</v>
      </c>
      <c r="C467" s="133">
        <v>0</v>
      </c>
      <c r="D467" s="133">
        <v>0</v>
      </c>
      <c r="E467" s="133">
        <v>0</v>
      </c>
      <c r="F467" s="133">
        <v>4300</v>
      </c>
      <c r="G467" s="133">
        <v>0</v>
      </c>
      <c r="H467" s="133">
        <v>0</v>
      </c>
      <c r="I467" s="133">
        <v>0</v>
      </c>
      <c r="J467" s="133">
        <v>0</v>
      </c>
      <c r="K467" s="133">
        <v>2720</v>
      </c>
      <c r="L467" s="133">
        <v>0</v>
      </c>
      <c r="M467" s="133">
        <v>0</v>
      </c>
      <c r="N467" s="133">
        <v>0</v>
      </c>
      <c r="O467" s="133"/>
      <c r="P467" s="122">
        <f t="shared" si="140"/>
        <v>7020</v>
      </c>
      <c r="T467" s="130"/>
    </row>
    <row r="468" spans="1:20" ht="12.75">
      <c r="A468" s="164" t="s">
        <v>482</v>
      </c>
      <c r="B468" s="164" t="s">
        <v>483</v>
      </c>
      <c r="C468" s="133">
        <v>0</v>
      </c>
      <c r="D468" s="133">
        <v>0</v>
      </c>
      <c r="E468" s="133">
        <v>0</v>
      </c>
      <c r="F468" s="133">
        <v>2600</v>
      </c>
      <c r="G468" s="133">
        <v>0</v>
      </c>
      <c r="H468" s="133">
        <v>0</v>
      </c>
      <c r="I468" s="133">
        <v>0</v>
      </c>
      <c r="J468" s="133">
        <v>0</v>
      </c>
      <c r="K468" s="133">
        <v>0</v>
      </c>
      <c r="L468" s="133">
        <v>0</v>
      </c>
      <c r="M468" s="133">
        <v>0</v>
      </c>
      <c r="N468" s="133">
        <v>0</v>
      </c>
      <c r="O468" s="133"/>
      <c r="P468" s="122">
        <f t="shared" si="140"/>
        <v>2600</v>
      </c>
      <c r="T468" s="130"/>
    </row>
    <row r="469" spans="1:20" s="111" customFormat="1" ht="12.75">
      <c r="A469" s="164" t="s">
        <v>484</v>
      </c>
      <c r="B469" s="164" t="s">
        <v>485</v>
      </c>
      <c r="C469" s="133">
        <v>0</v>
      </c>
      <c r="D469" s="133">
        <v>0</v>
      </c>
      <c r="E469" s="133">
        <v>20962.7</v>
      </c>
      <c r="F469" s="133">
        <v>0</v>
      </c>
      <c r="G469" s="133">
        <v>0</v>
      </c>
      <c r="H469" s="133">
        <v>0</v>
      </c>
      <c r="I469" s="133">
        <v>0</v>
      </c>
      <c r="J469" s="133">
        <v>0</v>
      </c>
      <c r="K469" s="133">
        <v>26250</v>
      </c>
      <c r="L469" s="133">
        <v>0</v>
      </c>
      <c r="M469" s="133">
        <v>0</v>
      </c>
      <c r="N469" s="133">
        <f>95808.24-O469</f>
        <v>40158.40000000001</v>
      </c>
      <c r="O469" s="133">
        <f>52500+3149.84</f>
        <v>55649.84</v>
      </c>
      <c r="P469" s="122">
        <f t="shared" si="140"/>
        <v>143020.94</v>
      </c>
      <c r="R469" s="219"/>
      <c r="T469" s="147"/>
    </row>
    <row r="470" spans="1:20" s="111" customFormat="1" ht="12.75">
      <c r="A470" s="164" t="s">
        <v>486</v>
      </c>
      <c r="B470" s="164" t="s">
        <v>487</v>
      </c>
      <c r="C470" s="133">
        <v>0</v>
      </c>
      <c r="D470" s="133">
        <v>0</v>
      </c>
      <c r="E470" s="133">
        <v>0</v>
      </c>
      <c r="F470" s="133">
        <v>0</v>
      </c>
      <c r="G470" s="133">
        <v>0</v>
      </c>
      <c r="H470" s="133">
        <v>0</v>
      </c>
      <c r="I470" s="133">
        <v>0</v>
      </c>
      <c r="J470" s="133">
        <v>0</v>
      </c>
      <c r="K470" s="133">
        <v>0</v>
      </c>
      <c r="L470" s="133">
        <v>0</v>
      </c>
      <c r="M470" s="133">
        <v>0</v>
      </c>
      <c r="N470" s="133">
        <v>0</v>
      </c>
      <c r="O470" s="133"/>
      <c r="P470" s="122">
        <f t="shared" si="140"/>
        <v>0</v>
      </c>
      <c r="R470" s="219"/>
      <c r="T470" s="147"/>
    </row>
    <row r="471" spans="1:20" s="111" customFormat="1" ht="12.75">
      <c r="A471" s="165" t="s">
        <v>488</v>
      </c>
      <c r="B471" s="164" t="s">
        <v>489</v>
      </c>
      <c r="C471" s="133">
        <v>0</v>
      </c>
      <c r="D471" s="133">
        <v>0</v>
      </c>
      <c r="E471" s="133">
        <v>0</v>
      </c>
      <c r="F471" s="133">
        <v>0</v>
      </c>
      <c r="G471" s="133">
        <v>0</v>
      </c>
      <c r="H471" s="133">
        <v>0</v>
      </c>
      <c r="I471" s="133">
        <v>15637.98</v>
      </c>
      <c r="J471" s="133">
        <v>133779.96</v>
      </c>
      <c r="K471" s="133">
        <v>0</v>
      </c>
      <c r="L471" s="133">
        <v>13999.98</v>
      </c>
      <c r="M471" s="133">
        <v>4177.5</v>
      </c>
      <c r="N471" s="133">
        <f>6915.81-O471</f>
        <v>2002.5</v>
      </c>
      <c r="O471" s="133">
        <v>4913.31</v>
      </c>
      <c r="P471" s="122">
        <f t="shared" si="140"/>
        <v>174511.23</v>
      </c>
      <c r="R471" s="219"/>
      <c r="T471" s="147"/>
    </row>
    <row r="472" spans="1:20" s="111" customFormat="1" ht="12.75">
      <c r="A472" s="202" t="s">
        <v>490</v>
      </c>
      <c r="B472" s="164" t="s">
        <v>491</v>
      </c>
      <c r="C472" s="133">
        <v>0</v>
      </c>
      <c r="D472" s="133">
        <v>0</v>
      </c>
      <c r="E472" s="133">
        <v>0</v>
      </c>
      <c r="F472" s="133">
        <v>0</v>
      </c>
      <c r="G472" s="133">
        <v>14171.16</v>
      </c>
      <c r="H472" s="133">
        <v>1345.58</v>
      </c>
      <c r="I472" s="133">
        <v>2530.85</v>
      </c>
      <c r="J472" s="133">
        <v>0</v>
      </c>
      <c r="K472" s="133">
        <v>0</v>
      </c>
      <c r="L472" s="133">
        <v>1200</v>
      </c>
      <c r="M472" s="133">
        <v>8000</v>
      </c>
      <c r="N472" s="133">
        <f>6461.35-O472</f>
        <v>0</v>
      </c>
      <c r="O472" s="133">
        <f>5842.82+618.53</f>
        <v>6461.349999999999</v>
      </c>
      <c r="P472" s="122">
        <f t="shared" si="140"/>
        <v>33708.94</v>
      </c>
      <c r="R472" s="219"/>
      <c r="T472" s="147"/>
    </row>
    <row r="473" spans="1:20" s="111" customFormat="1" ht="12.75">
      <c r="A473" s="202" t="s">
        <v>492</v>
      </c>
      <c r="B473" s="164" t="s">
        <v>493</v>
      </c>
      <c r="C473" s="133">
        <v>0</v>
      </c>
      <c r="D473" s="133">
        <v>0</v>
      </c>
      <c r="E473" s="133">
        <v>0</v>
      </c>
      <c r="F473" s="133">
        <v>0</v>
      </c>
      <c r="G473" s="133">
        <v>0</v>
      </c>
      <c r="H473" s="133">
        <v>0</v>
      </c>
      <c r="I473" s="133">
        <v>0</v>
      </c>
      <c r="J473" s="133">
        <v>0</v>
      </c>
      <c r="K473" s="133">
        <v>1312.5</v>
      </c>
      <c r="L473" s="133">
        <v>0</v>
      </c>
      <c r="M473" s="133">
        <v>0</v>
      </c>
      <c r="N473" s="133">
        <v>0</v>
      </c>
      <c r="O473" s="133"/>
      <c r="P473" s="122">
        <f t="shared" si="140"/>
        <v>1312.5</v>
      </c>
      <c r="R473" s="219"/>
      <c r="T473" s="147"/>
    </row>
    <row r="474" spans="1:20" s="111" customFormat="1" ht="12.75">
      <c r="A474" s="202" t="s">
        <v>494</v>
      </c>
      <c r="B474" s="164" t="s">
        <v>495</v>
      </c>
      <c r="C474" s="133">
        <v>0</v>
      </c>
      <c r="D474" s="133">
        <v>1400</v>
      </c>
      <c r="E474" s="133">
        <v>0</v>
      </c>
      <c r="F474" s="133">
        <v>0</v>
      </c>
      <c r="G474" s="133">
        <v>0</v>
      </c>
      <c r="H474" s="133">
        <v>0</v>
      </c>
      <c r="I474" s="133">
        <v>0</v>
      </c>
      <c r="J474" s="133">
        <v>0</v>
      </c>
      <c r="K474" s="133">
        <v>0</v>
      </c>
      <c r="L474" s="133">
        <v>0</v>
      </c>
      <c r="M474" s="133">
        <v>0</v>
      </c>
      <c r="N474" s="133">
        <f>16429.9-O474</f>
        <v>0</v>
      </c>
      <c r="O474" s="133">
        <v>16429.9</v>
      </c>
      <c r="P474" s="122">
        <f t="shared" si="140"/>
        <v>17829.9</v>
      </c>
      <c r="R474" s="219"/>
      <c r="T474" s="147"/>
    </row>
    <row r="475" spans="1:20" s="111" customFormat="1" ht="12.75">
      <c r="A475" s="202" t="s">
        <v>548</v>
      </c>
      <c r="B475" s="164" t="s">
        <v>549</v>
      </c>
      <c r="C475" s="133">
        <v>0</v>
      </c>
      <c r="D475" s="133">
        <v>0</v>
      </c>
      <c r="E475" s="133">
        <v>0</v>
      </c>
      <c r="F475" s="133">
        <v>0</v>
      </c>
      <c r="G475" s="133">
        <v>0</v>
      </c>
      <c r="H475" s="133">
        <v>0</v>
      </c>
      <c r="I475" s="133">
        <v>0</v>
      </c>
      <c r="J475" s="133">
        <v>0</v>
      </c>
      <c r="K475" s="133">
        <v>0</v>
      </c>
      <c r="L475" s="133">
        <v>0</v>
      </c>
      <c r="M475" s="133">
        <v>0</v>
      </c>
      <c r="N475" s="133">
        <f>15850-O475</f>
        <v>0</v>
      </c>
      <c r="O475" s="133">
        <v>15850</v>
      </c>
      <c r="P475" s="122">
        <f t="shared" si="140"/>
        <v>15850</v>
      </c>
      <c r="R475" s="219"/>
      <c r="T475" s="147"/>
    </row>
    <row r="476" spans="1:20" s="111" customFormat="1" ht="12.75">
      <c r="A476" s="202" t="s">
        <v>496</v>
      </c>
      <c r="B476" s="164" t="s">
        <v>497</v>
      </c>
      <c r="C476" s="133">
        <v>0</v>
      </c>
      <c r="D476" s="133">
        <v>175</v>
      </c>
      <c r="E476" s="133">
        <v>0</v>
      </c>
      <c r="F476" s="133">
        <v>0</v>
      </c>
      <c r="G476" s="133">
        <v>58069.94</v>
      </c>
      <c r="H476" s="133">
        <v>36615.98</v>
      </c>
      <c r="I476" s="133">
        <v>18960</v>
      </c>
      <c r="J476" s="133">
        <v>6104</v>
      </c>
      <c r="K476" s="133">
        <v>121131</v>
      </c>
      <c r="L476" s="133">
        <v>32947</v>
      </c>
      <c r="M476" s="133">
        <v>57730</v>
      </c>
      <c r="N476" s="133">
        <f>709158.91-O476</f>
        <v>180410.40000000002</v>
      </c>
      <c r="O476" s="133">
        <f>157004.83+52568+319175.68</f>
        <v>528748.51</v>
      </c>
      <c r="P476" s="122">
        <f t="shared" si="140"/>
        <v>1040891.8300000001</v>
      </c>
      <c r="R476" s="219"/>
      <c r="T476" s="147"/>
    </row>
    <row r="477" spans="1:20" s="111" customFormat="1" ht="12.75">
      <c r="A477" s="202" t="s">
        <v>498</v>
      </c>
      <c r="B477" s="164" t="s">
        <v>499</v>
      </c>
      <c r="C477" s="133">
        <v>0</v>
      </c>
      <c r="D477" s="133">
        <v>0</v>
      </c>
      <c r="E477" s="133">
        <v>0</v>
      </c>
      <c r="F477" s="133">
        <v>1935</v>
      </c>
      <c r="G477" s="133">
        <v>1749.99</v>
      </c>
      <c r="H477" s="133">
        <v>4440</v>
      </c>
      <c r="I477" s="133">
        <v>0</v>
      </c>
      <c r="J477" s="133">
        <v>0</v>
      </c>
      <c r="K477" s="133">
        <v>0</v>
      </c>
      <c r="L477" s="133">
        <v>0</v>
      </c>
      <c r="M477" s="133">
        <v>1500</v>
      </c>
      <c r="N477" s="133">
        <v>3983.98</v>
      </c>
      <c r="O477" s="133"/>
      <c r="P477" s="122">
        <f t="shared" si="140"/>
        <v>13608.97</v>
      </c>
      <c r="R477" s="219"/>
      <c r="T477" s="147"/>
    </row>
    <row r="478" spans="1:20" s="111" customFormat="1" ht="12.75">
      <c r="A478" s="202" t="s">
        <v>500</v>
      </c>
      <c r="B478" s="164" t="s">
        <v>501</v>
      </c>
      <c r="C478" s="133">
        <v>0</v>
      </c>
      <c r="D478" s="133">
        <v>2694.89</v>
      </c>
      <c r="E478" s="133">
        <v>450.11</v>
      </c>
      <c r="F478" s="133">
        <v>214</v>
      </c>
      <c r="G478" s="133">
        <v>0</v>
      </c>
      <c r="H478" s="133">
        <v>0</v>
      </c>
      <c r="I478" s="133">
        <v>0</v>
      </c>
      <c r="J478" s="133">
        <v>4813.25</v>
      </c>
      <c r="K478" s="133">
        <v>0</v>
      </c>
      <c r="L478" s="133">
        <v>0</v>
      </c>
      <c r="M478" s="133">
        <v>6464.78</v>
      </c>
      <c r="N478" s="133">
        <f>3687.91-O478</f>
        <v>0</v>
      </c>
      <c r="O478" s="133">
        <v>3687.91</v>
      </c>
      <c r="P478" s="122">
        <f t="shared" si="140"/>
        <v>18324.94</v>
      </c>
      <c r="R478" s="219"/>
      <c r="T478" s="147"/>
    </row>
    <row r="479" spans="1:20" s="111" customFormat="1" ht="12.75">
      <c r="A479" s="202" t="s">
        <v>502</v>
      </c>
      <c r="B479" s="164" t="s">
        <v>503</v>
      </c>
      <c r="C479" s="133">
        <v>0</v>
      </c>
      <c r="D479" s="133">
        <v>0</v>
      </c>
      <c r="E479" s="133">
        <v>0</v>
      </c>
      <c r="F479" s="133">
        <v>0</v>
      </c>
      <c r="G479" s="133">
        <v>0</v>
      </c>
      <c r="H479" s="133">
        <v>0</v>
      </c>
      <c r="I479" s="133">
        <v>0</v>
      </c>
      <c r="J479" s="133">
        <v>0</v>
      </c>
      <c r="K479" s="133">
        <v>0</v>
      </c>
      <c r="L479" s="133">
        <v>0</v>
      </c>
      <c r="M479" s="133">
        <v>0</v>
      </c>
      <c r="N479" s="133">
        <v>0</v>
      </c>
      <c r="O479" s="133"/>
      <c r="P479" s="122">
        <f>SUM(C479:O479)</f>
        <v>0</v>
      </c>
      <c r="R479" s="219"/>
      <c r="T479" s="147"/>
    </row>
    <row r="480" spans="1:20" s="111" customFormat="1" ht="12.75">
      <c r="A480" s="202" t="s">
        <v>550</v>
      </c>
      <c r="B480" s="164" t="s">
        <v>551</v>
      </c>
      <c r="C480" s="133">
        <v>0</v>
      </c>
      <c r="D480" s="133">
        <v>0</v>
      </c>
      <c r="E480" s="133">
        <v>0</v>
      </c>
      <c r="F480" s="133">
        <v>0</v>
      </c>
      <c r="G480" s="133">
        <v>0</v>
      </c>
      <c r="H480" s="133">
        <v>0</v>
      </c>
      <c r="I480" s="133">
        <v>0</v>
      </c>
      <c r="J480" s="133">
        <v>0</v>
      </c>
      <c r="K480" s="133">
        <v>0</v>
      </c>
      <c r="L480" s="133">
        <v>0</v>
      </c>
      <c r="M480" s="133">
        <v>0</v>
      </c>
      <c r="N480" s="133">
        <f>342-O480</f>
        <v>0</v>
      </c>
      <c r="O480" s="133">
        <v>342</v>
      </c>
      <c r="P480" s="122">
        <f t="shared" si="140"/>
        <v>342</v>
      </c>
      <c r="R480" s="219"/>
      <c r="T480" s="147"/>
    </row>
    <row r="481" spans="1:20" s="127" customFormat="1" ht="13.5" thickBot="1">
      <c r="A481" s="203"/>
      <c r="B481" s="204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R481" s="205"/>
      <c r="T481" s="205"/>
    </row>
    <row r="482" spans="1:20" s="111" customFormat="1" ht="13.5" thickBot="1">
      <c r="A482" s="127"/>
      <c r="B482" s="141" t="s">
        <v>504</v>
      </c>
      <c r="C482" s="143">
        <f>C446+C449+C453+C457+C461</f>
        <v>0</v>
      </c>
      <c r="D482" s="143">
        <f aca="true" t="shared" si="141" ref="D482:P482">D446+D449+D453+D457+D461</f>
        <v>92723.01999999999</v>
      </c>
      <c r="E482" s="143">
        <f t="shared" si="141"/>
        <v>124772.81</v>
      </c>
      <c r="F482" s="143">
        <f t="shared" si="141"/>
        <v>23150.28</v>
      </c>
      <c r="G482" s="143">
        <f t="shared" si="141"/>
        <v>263065.47000000003</v>
      </c>
      <c r="H482" s="143">
        <f t="shared" si="141"/>
        <v>214494.86000000002</v>
      </c>
      <c r="I482" s="143">
        <f t="shared" si="141"/>
        <v>118320.81</v>
      </c>
      <c r="J482" s="143">
        <f t="shared" si="141"/>
        <v>1117718.2</v>
      </c>
      <c r="K482" s="143">
        <f t="shared" si="141"/>
        <v>656974.64</v>
      </c>
      <c r="L482" s="143">
        <f t="shared" si="141"/>
        <v>176789.88</v>
      </c>
      <c r="M482" s="143">
        <f t="shared" si="141"/>
        <v>1943468.5</v>
      </c>
      <c r="N482" s="143">
        <f t="shared" si="141"/>
        <v>293118.42000000004</v>
      </c>
      <c r="O482" s="143">
        <f t="shared" si="141"/>
        <v>8266207.0600000005</v>
      </c>
      <c r="P482" s="143">
        <f t="shared" si="141"/>
        <v>13290803.95</v>
      </c>
      <c r="Q482" s="128"/>
      <c r="R482" s="219"/>
      <c r="T482" s="147"/>
    </row>
    <row r="483" spans="1:20" s="111" customFormat="1" ht="13.5" thickBot="1">
      <c r="A483" s="127"/>
      <c r="B483" s="127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9"/>
      <c r="R483" s="219"/>
      <c r="T483" s="147"/>
    </row>
    <row r="484" spans="1:20" ht="13.5" thickBot="1">
      <c r="A484" s="127"/>
      <c r="B484" s="141" t="s">
        <v>505</v>
      </c>
      <c r="C484" s="143" t="e">
        <f aca="true" t="shared" si="142" ref="C484:P484">C433+C482</f>
        <v>#REF!</v>
      </c>
      <c r="D484" s="143" t="e">
        <f t="shared" si="142"/>
        <v>#REF!</v>
      </c>
      <c r="E484" s="143">
        <f t="shared" si="142"/>
        <v>62429850.45999999</v>
      </c>
      <c r="F484" s="143">
        <f t="shared" si="142"/>
        <v>64546915.489999995</v>
      </c>
      <c r="G484" s="143">
        <f t="shared" si="142"/>
        <v>76619812.95</v>
      </c>
      <c r="H484" s="143">
        <f t="shared" si="142"/>
        <v>67345481.84</v>
      </c>
      <c r="I484" s="143">
        <f t="shared" si="142"/>
        <v>63534804.110000014</v>
      </c>
      <c r="J484" s="143">
        <f t="shared" si="142"/>
        <v>64188592.53999999</v>
      </c>
      <c r="K484" s="143">
        <f t="shared" si="142"/>
        <v>65325145.93999999</v>
      </c>
      <c r="L484" s="143">
        <f t="shared" si="142"/>
        <v>68515650.42</v>
      </c>
      <c r="M484" s="143">
        <f t="shared" si="142"/>
        <v>101485079.15</v>
      </c>
      <c r="N484" s="143">
        <f t="shared" si="142"/>
        <v>66419168.95</v>
      </c>
      <c r="O484" s="143">
        <f t="shared" si="142"/>
        <v>18953777.59</v>
      </c>
      <c r="P484" s="143">
        <f t="shared" si="142"/>
        <v>857061764.8499999</v>
      </c>
      <c r="T484" s="130"/>
    </row>
    <row r="485" spans="1:20" ht="12.75">
      <c r="A485" s="127"/>
      <c r="B485" s="127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9"/>
      <c r="T485" s="130"/>
    </row>
    <row r="486" spans="1:20" ht="12.75">
      <c r="A486" s="127"/>
      <c r="B486" s="127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11"/>
      <c r="R486" s="219"/>
      <c r="S486" s="111"/>
      <c r="T486" s="130"/>
    </row>
    <row r="487" spans="1:20" ht="12.75">
      <c r="A487" s="104" t="s">
        <v>506</v>
      </c>
      <c r="B487" s="111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29"/>
      <c r="T487" s="130"/>
    </row>
    <row r="488" spans="3:20" s="111" customFormat="1" ht="12.75"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29"/>
      <c r="R488" s="219"/>
      <c r="T488" s="147"/>
    </row>
    <row r="489" spans="1:20" ht="12.75">
      <c r="A489" s="104" t="s">
        <v>507</v>
      </c>
      <c r="B489" s="111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29"/>
      <c r="T489" s="130"/>
    </row>
    <row r="490" spans="3:20" s="111" customFormat="1" ht="13.5" thickBot="1"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29"/>
      <c r="R490" s="219"/>
      <c r="T490" s="147"/>
    </row>
    <row r="491" spans="1:24" s="164" customFormat="1" ht="13.5" thickBot="1">
      <c r="A491" s="198" t="s">
        <v>101</v>
      </c>
      <c r="B491" s="199" t="s">
        <v>102</v>
      </c>
      <c r="C491" s="108">
        <v>41640</v>
      </c>
      <c r="D491" s="108">
        <v>41671</v>
      </c>
      <c r="E491" s="108">
        <v>41699</v>
      </c>
      <c r="F491" s="108">
        <v>41730</v>
      </c>
      <c r="G491" s="108">
        <v>41760</v>
      </c>
      <c r="H491" s="108">
        <v>41791</v>
      </c>
      <c r="I491" s="108">
        <v>41821</v>
      </c>
      <c r="J491" s="108">
        <v>41852</v>
      </c>
      <c r="K491" s="108">
        <v>41883</v>
      </c>
      <c r="L491" s="108">
        <v>41913</v>
      </c>
      <c r="M491" s="108">
        <v>41944</v>
      </c>
      <c r="N491" s="108">
        <v>41974</v>
      </c>
      <c r="O491" s="108"/>
      <c r="P491" s="109" t="s">
        <v>557</v>
      </c>
      <c r="Q491" s="111"/>
      <c r="R491" s="219"/>
      <c r="S491" s="111"/>
      <c r="T491" s="147"/>
      <c r="U491" s="111"/>
      <c r="V491" s="111"/>
      <c r="W491" s="111"/>
      <c r="X491" s="111"/>
    </row>
    <row r="492" spans="1:20" ht="12.75">
      <c r="A492" s="115"/>
      <c r="B492" s="113" t="s">
        <v>32</v>
      </c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206"/>
      <c r="N492" s="207"/>
      <c r="O492" s="108"/>
      <c r="P492" s="208"/>
      <c r="T492" s="130"/>
    </row>
    <row r="493" spans="1:20" ht="12.75">
      <c r="A493" s="227" t="s">
        <v>2</v>
      </c>
      <c r="B493" s="162" t="s">
        <v>508</v>
      </c>
      <c r="C493" s="117">
        <f aca="true" t="shared" si="143" ref="C493:N493">SUM(C494:C494)</f>
        <v>70015722.02</v>
      </c>
      <c r="D493" s="117">
        <f t="shared" si="143"/>
        <v>56328539.62</v>
      </c>
      <c r="E493" s="117">
        <f t="shared" si="143"/>
        <v>56778844.49</v>
      </c>
      <c r="F493" s="117">
        <f t="shared" si="143"/>
        <v>56831743.02</v>
      </c>
      <c r="G493" s="117">
        <f t="shared" si="143"/>
        <v>55949147.96</v>
      </c>
      <c r="H493" s="117">
        <f t="shared" si="143"/>
        <v>69039371.86</v>
      </c>
      <c r="I493" s="117">
        <f t="shared" si="143"/>
        <v>55553327.65</v>
      </c>
      <c r="J493" s="117">
        <f t="shared" si="143"/>
        <v>56091774.97</v>
      </c>
      <c r="K493" s="117">
        <f t="shared" si="143"/>
        <v>56401214.96</v>
      </c>
      <c r="L493" s="117">
        <f t="shared" si="143"/>
        <v>56701795.17</v>
      </c>
      <c r="M493" s="117">
        <f t="shared" si="143"/>
        <v>86098490.91</v>
      </c>
      <c r="N493" s="117">
        <f t="shared" si="143"/>
        <v>55817443.12</v>
      </c>
      <c r="O493" s="117"/>
      <c r="P493" s="117">
        <f>SUM(P494:P494)</f>
        <v>731607415.75</v>
      </c>
      <c r="T493" s="130"/>
    </row>
    <row r="494" spans="1:20" ht="13.5" thickBot="1">
      <c r="A494" s="228"/>
      <c r="B494" s="164" t="s">
        <v>508</v>
      </c>
      <c r="C494" s="120">
        <v>70015722.02</v>
      </c>
      <c r="D494" s="120">
        <v>56328539.62</v>
      </c>
      <c r="E494" s="120">
        <v>56778844.49</v>
      </c>
      <c r="F494" s="120">
        <v>56831743.02</v>
      </c>
      <c r="G494" s="120">
        <v>55949147.96</v>
      </c>
      <c r="H494" s="120">
        <v>69039371.86</v>
      </c>
      <c r="I494" s="120">
        <v>55553327.65</v>
      </c>
      <c r="J494" s="120">
        <v>56091774.97</v>
      </c>
      <c r="K494" s="120">
        <v>56401214.96</v>
      </c>
      <c r="L494" s="120">
        <v>56701795.17</v>
      </c>
      <c r="M494" s="120">
        <v>86098490.91</v>
      </c>
      <c r="N494" s="120">
        <v>55817443.12</v>
      </c>
      <c r="O494" s="120"/>
      <c r="P494" s="120">
        <f>SUM(C494:N494)</f>
        <v>731607415.75</v>
      </c>
      <c r="T494" s="130"/>
    </row>
    <row r="495" spans="1:20" ht="13.5" thickBot="1">
      <c r="A495" s="110"/>
      <c r="B495" s="111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29"/>
      <c r="T495" s="130"/>
    </row>
    <row r="496" spans="1:20" ht="12.75">
      <c r="A496" s="229"/>
      <c r="B496" s="162" t="s">
        <v>33</v>
      </c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32"/>
      <c r="T496" s="130"/>
    </row>
    <row r="497" spans="1:20" ht="12.75">
      <c r="A497" s="227" t="s">
        <v>3</v>
      </c>
      <c r="B497" s="162" t="s">
        <v>508</v>
      </c>
      <c r="C497" s="117">
        <f aca="true" t="shared" si="144" ref="C497:N497">SUM(C498:C498)</f>
        <v>8118685.75</v>
      </c>
      <c r="D497" s="117">
        <f t="shared" si="144"/>
        <v>8160460.21</v>
      </c>
      <c r="E497" s="117">
        <f t="shared" si="144"/>
        <v>8012702.07</v>
      </c>
      <c r="F497" s="117">
        <f t="shared" si="144"/>
        <v>9415370.91</v>
      </c>
      <c r="G497" s="117">
        <f t="shared" si="144"/>
        <v>7313355.13</v>
      </c>
      <c r="H497" s="117">
        <f t="shared" si="144"/>
        <v>11846171.86</v>
      </c>
      <c r="I497" s="117">
        <f t="shared" si="144"/>
        <v>7963644.68</v>
      </c>
      <c r="J497" s="117">
        <f t="shared" si="144"/>
        <v>8978242.39</v>
      </c>
      <c r="K497" s="117">
        <f t="shared" si="144"/>
        <v>8919900.09</v>
      </c>
      <c r="L497" s="117">
        <f t="shared" si="144"/>
        <v>11770503.63</v>
      </c>
      <c r="M497" s="117">
        <f t="shared" si="144"/>
        <v>8297690.88</v>
      </c>
      <c r="N497" s="117">
        <f t="shared" si="144"/>
        <v>11389266.84</v>
      </c>
      <c r="O497" s="117"/>
      <c r="P497" s="117">
        <f>SUM(P498:P498)</f>
        <v>110185994.44</v>
      </c>
      <c r="T497" s="130"/>
    </row>
    <row r="498" spans="1:20" ht="13.5" thickBot="1">
      <c r="A498" s="228"/>
      <c r="B498" s="164" t="s">
        <v>508</v>
      </c>
      <c r="C498" s="120">
        <v>8118685.75</v>
      </c>
      <c r="D498" s="120">
        <v>8160460.21</v>
      </c>
      <c r="E498" s="120">
        <v>8012702.07</v>
      </c>
      <c r="F498" s="120">
        <v>9415370.91</v>
      </c>
      <c r="G498" s="120">
        <v>7313355.13</v>
      </c>
      <c r="H498" s="120">
        <v>11846171.86</v>
      </c>
      <c r="I498" s="120">
        <v>7963644.68</v>
      </c>
      <c r="J498" s="120">
        <v>8978242.39</v>
      </c>
      <c r="K498" s="120">
        <v>8919900.09</v>
      </c>
      <c r="L498" s="120">
        <v>11770503.63</v>
      </c>
      <c r="M498" s="120">
        <v>8297690.88</v>
      </c>
      <c r="N498" s="120">
        <v>11389266.84</v>
      </c>
      <c r="O498" s="120"/>
      <c r="P498" s="122">
        <f>SUM(C498:N498)</f>
        <v>110185994.44</v>
      </c>
      <c r="T498" s="130"/>
    </row>
    <row r="499" spans="1:20" ht="13.5" thickBot="1">
      <c r="A499" s="111"/>
      <c r="B499" s="111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213"/>
      <c r="O499" s="133"/>
      <c r="P499" s="208"/>
      <c r="T499" s="130"/>
    </row>
    <row r="500" spans="1:20" ht="12.75">
      <c r="A500" s="112"/>
      <c r="B500" s="116" t="s">
        <v>509</v>
      </c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207"/>
      <c r="N500" s="207"/>
      <c r="O500" s="108"/>
      <c r="P500" s="208"/>
      <c r="T500" s="130"/>
    </row>
    <row r="501" spans="1:20" ht="12.75">
      <c r="A501" s="123" t="s">
        <v>4</v>
      </c>
      <c r="B501" s="116" t="s">
        <v>508</v>
      </c>
      <c r="C501" s="117">
        <f aca="true" t="shared" si="145" ref="C501:N501">SUM(C502:C502)</f>
        <v>0</v>
      </c>
      <c r="D501" s="117">
        <f t="shared" si="145"/>
        <v>561666.67</v>
      </c>
      <c r="E501" s="117">
        <f t="shared" si="145"/>
        <v>280833.33</v>
      </c>
      <c r="F501" s="117">
        <f t="shared" si="145"/>
        <v>280833.33</v>
      </c>
      <c r="G501" s="117">
        <f t="shared" si="145"/>
        <v>416011.54</v>
      </c>
      <c r="H501" s="117">
        <f t="shared" si="145"/>
        <v>1756380.83</v>
      </c>
      <c r="I501" s="117">
        <f t="shared" si="145"/>
        <v>1344977.56</v>
      </c>
      <c r="J501" s="117">
        <f t="shared" si="145"/>
        <v>804511.81</v>
      </c>
      <c r="K501" s="117">
        <f t="shared" si="145"/>
        <v>367934.97</v>
      </c>
      <c r="L501" s="117">
        <f t="shared" si="145"/>
        <v>890478.53</v>
      </c>
      <c r="M501" s="209">
        <f t="shared" si="145"/>
        <v>762911.92</v>
      </c>
      <c r="N501" s="209">
        <f t="shared" si="145"/>
        <v>963736.65</v>
      </c>
      <c r="O501" s="117"/>
      <c r="P501" s="210">
        <f>SUM(P502:P502)</f>
        <v>8430277.14</v>
      </c>
      <c r="T501" s="130"/>
    </row>
    <row r="502" spans="1:20" ht="13.5" thickBot="1">
      <c r="A502" s="148"/>
      <c r="B502" s="119" t="s">
        <v>508</v>
      </c>
      <c r="C502" s="120">
        <v>0</v>
      </c>
      <c r="D502" s="120">
        <v>561666.67</v>
      </c>
      <c r="E502" s="120">
        <v>280833.33</v>
      </c>
      <c r="F502" s="120">
        <v>280833.33</v>
      </c>
      <c r="G502" s="120">
        <v>416011.54</v>
      </c>
      <c r="H502" s="120">
        <v>1756380.83</v>
      </c>
      <c r="I502" s="120">
        <v>1344977.56</v>
      </c>
      <c r="J502" s="120">
        <v>804511.81</v>
      </c>
      <c r="K502" s="120">
        <v>367934.97</v>
      </c>
      <c r="L502" s="120">
        <v>890478.53</v>
      </c>
      <c r="M502" s="211">
        <v>762911.92</v>
      </c>
      <c r="N502" s="211">
        <v>963736.65</v>
      </c>
      <c r="O502" s="120"/>
      <c r="P502" s="212">
        <f>SUM(C502:N502)</f>
        <v>8430277.14</v>
      </c>
      <c r="T502" s="130"/>
    </row>
    <row r="503" spans="1:20" ht="13.5" thickBot="1">
      <c r="A503" s="127"/>
      <c r="B503" s="127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207"/>
      <c r="O503" s="108"/>
      <c r="P503" s="208"/>
      <c r="T503" s="130"/>
    </row>
    <row r="504" spans="1:20" ht="12.75">
      <c r="A504" s="112"/>
      <c r="B504" s="116" t="s">
        <v>510</v>
      </c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207"/>
      <c r="N504" s="207"/>
      <c r="O504" s="108"/>
      <c r="P504" s="208"/>
      <c r="T504" s="130"/>
    </row>
    <row r="505" spans="1:20" ht="12.75">
      <c r="A505" s="123" t="s">
        <v>5</v>
      </c>
      <c r="B505" s="116" t="s">
        <v>508</v>
      </c>
      <c r="C505" s="117">
        <f aca="true" t="shared" si="146" ref="C505:N505">SUM(C506:C506)</f>
        <v>0</v>
      </c>
      <c r="D505" s="117">
        <f t="shared" si="146"/>
        <v>0</v>
      </c>
      <c r="E505" s="117">
        <f t="shared" si="146"/>
        <v>0</v>
      </c>
      <c r="F505" s="117">
        <f t="shared" si="146"/>
        <v>0</v>
      </c>
      <c r="G505" s="117">
        <f t="shared" si="146"/>
        <v>0</v>
      </c>
      <c r="H505" s="117">
        <f t="shared" si="146"/>
        <v>0</v>
      </c>
      <c r="I505" s="117">
        <f t="shared" si="146"/>
        <v>0</v>
      </c>
      <c r="J505" s="117">
        <f t="shared" si="146"/>
        <v>0</v>
      </c>
      <c r="K505" s="117">
        <f t="shared" si="146"/>
        <v>0</v>
      </c>
      <c r="L505" s="117">
        <f t="shared" si="146"/>
        <v>0</v>
      </c>
      <c r="M505" s="209">
        <f t="shared" si="146"/>
        <v>0</v>
      </c>
      <c r="N505" s="209">
        <f t="shared" si="146"/>
        <v>0</v>
      </c>
      <c r="O505" s="117"/>
      <c r="P505" s="210">
        <f>SUM(P506:P506)</f>
        <v>0</v>
      </c>
      <c r="T505" s="130"/>
    </row>
    <row r="506" spans="1:20" ht="13.5" thickBot="1">
      <c r="A506" s="148"/>
      <c r="B506" s="119" t="s">
        <v>511</v>
      </c>
      <c r="C506" s="120">
        <v>0</v>
      </c>
      <c r="D506" s="120">
        <v>0</v>
      </c>
      <c r="E506" s="120">
        <v>0</v>
      </c>
      <c r="F506" s="120">
        <v>0</v>
      </c>
      <c r="G506" s="120">
        <v>0</v>
      </c>
      <c r="H506" s="120">
        <v>0</v>
      </c>
      <c r="I506" s="120">
        <v>0</v>
      </c>
      <c r="J506" s="120">
        <v>0</v>
      </c>
      <c r="K506" s="120">
        <v>0</v>
      </c>
      <c r="L506" s="120">
        <v>0</v>
      </c>
      <c r="M506" s="120">
        <v>0</v>
      </c>
      <c r="N506" s="211">
        <v>0</v>
      </c>
      <c r="O506" s="120"/>
      <c r="P506" s="212">
        <f>SUM(C506:N506)</f>
        <v>0</v>
      </c>
      <c r="T506" s="130"/>
    </row>
    <row r="507" spans="1:20" ht="13.5" thickBot="1">
      <c r="A507" s="127"/>
      <c r="B507" s="127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17"/>
      <c r="P507" s="129"/>
      <c r="T507" s="130"/>
    </row>
    <row r="508" spans="1:20" ht="13.5" thickBot="1">
      <c r="A508" s="127"/>
      <c r="B508" s="142" t="s">
        <v>512</v>
      </c>
      <c r="C508" s="143">
        <f aca="true" t="shared" si="147" ref="C508:P508">C493+C497+C501+C505</f>
        <v>78134407.77</v>
      </c>
      <c r="D508" s="143">
        <f t="shared" si="147"/>
        <v>65050666.5</v>
      </c>
      <c r="E508" s="143">
        <f t="shared" si="147"/>
        <v>65072379.89</v>
      </c>
      <c r="F508" s="143">
        <f t="shared" si="147"/>
        <v>66527947.260000005</v>
      </c>
      <c r="G508" s="143">
        <f t="shared" si="147"/>
        <v>63678514.63</v>
      </c>
      <c r="H508" s="143">
        <f t="shared" si="147"/>
        <v>82641924.55</v>
      </c>
      <c r="I508" s="143">
        <f t="shared" si="147"/>
        <v>64861949.89</v>
      </c>
      <c r="J508" s="143">
        <f t="shared" si="147"/>
        <v>65874529.17</v>
      </c>
      <c r="K508" s="143">
        <f t="shared" si="147"/>
        <v>65689050.019999996</v>
      </c>
      <c r="L508" s="143">
        <f t="shared" si="147"/>
        <v>69362777.33</v>
      </c>
      <c r="M508" s="143">
        <f t="shared" si="147"/>
        <v>95159093.71</v>
      </c>
      <c r="N508" s="143">
        <f t="shared" si="147"/>
        <v>68170446.61</v>
      </c>
      <c r="O508" s="143">
        <f t="shared" si="147"/>
        <v>0</v>
      </c>
      <c r="P508" s="143">
        <f t="shared" si="147"/>
        <v>850223687.33</v>
      </c>
      <c r="T508" s="130"/>
    </row>
    <row r="509" spans="1:20" ht="12.75">
      <c r="A509" s="127"/>
      <c r="B509" s="127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9"/>
      <c r="T509" s="130"/>
    </row>
    <row r="510" spans="1:20" ht="12.75">
      <c r="A510" s="104" t="s">
        <v>513</v>
      </c>
      <c r="B510" s="111"/>
      <c r="C510" s="169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9"/>
      <c r="T510" s="130"/>
    </row>
    <row r="511" spans="1:20" ht="12.75">
      <c r="A511" s="127"/>
      <c r="B511" s="127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9"/>
      <c r="T511" s="130"/>
    </row>
  </sheetData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selection activeCell="A8" sqref="A8:P8"/>
    </sheetView>
  </sheetViews>
  <sheetFormatPr defaultColWidth="9.140625" defaultRowHeight="12.75"/>
  <cols>
    <col min="2" max="2" width="32.57421875" style="0" customWidth="1"/>
    <col min="3" max="3" width="12.140625" style="0" hidden="1" customWidth="1"/>
    <col min="4" max="4" width="12.421875" style="0" hidden="1" customWidth="1"/>
    <col min="5" max="5" width="12.140625" style="0" hidden="1" customWidth="1"/>
    <col min="6" max="6" width="14.28125" style="0" hidden="1" customWidth="1"/>
    <col min="7" max="7" width="12.140625" style="0" hidden="1" customWidth="1"/>
    <col min="8" max="8" width="12.57421875" style="0" hidden="1" customWidth="1"/>
    <col min="9" max="9" width="12.140625" style="0" hidden="1" customWidth="1"/>
    <col min="10" max="10" width="13.00390625" style="0" hidden="1" customWidth="1"/>
    <col min="11" max="11" width="12.140625" style="0" hidden="1" customWidth="1"/>
    <col min="12" max="12" width="12.140625" style="0" customWidth="1"/>
    <col min="13" max="13" width="12.8515625" style="0" customWidth="1"/>
    <col min="14" max="14" width="12.57421875" style="0" customWidth="1"/>
    <col min="15" max="15" width="13.140625" style="0" customWidth="1"/>
    <col min="16" max="16" width="14.140625" style="0" bestFit="1" customWidth="1"/>
    <col min="18" max="18" width="12.28125" style="0" bestFit="1" customWidth="1"/>
  </cols>
  <sheetData>
    <row r="1" spans="1:16" ht="14.25">
      <c r="A1" s="232"/>
      <c r="B1" s="2" t="s">
        <v>34</v>
      </c>
      <c r="C1" s="3"/>
      <c r="D1" s="4"/>
      <c r="E1" s="4"/>
      <c r="F1" s="1"/>
      <c r="G1" s="5"/>
      <c r="H1" s="6"/>
      <c r="I1" s="6"/>
      <c r="J1" s="6"/>
      <c r="K1" s="7"/>
      <c r="L1" s="7"/>
      <c r="M1" s="7"/>
      <c r="N1" s="7"/>
      <c r="O1" s="7"/>
      <c r="P1" s="8"/>
    </row>
    <row r="2" spans="1:16" ht="14.25">
      <c r="A2" s="232"/>
      <c r="B2" s="9" t="s">
        <v>35</v>
      </c>
      <c r="C2" s="3"/>
      <c r="D2" s="4"/>
      <c r="E2" s="4"/>
      <c r="F2" s="10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4.25">
      <c r="A3" s="232"/>
      <c r="B3" s="9" t="s">
        <v>36</v>
      </c>
      <c r="C3" s="3"/>
      <c r="D3" s="4"/>
      <c r="E3" s="4"/>
      <c r="F3" s="10"/>
      <c r="G3" s="13"/>
      <c r="H3" s="14"/>
      <c r="I3" s="14"/>
      <c r="J3" s="11"/>
      <c r="K3" s="9"/>
      <c r="L3" s="9"/>
      <c r="M3" s="15"/>
      <c r="N3" s="15"/>
      <c r="O3" s="15"/>
      <c r="P3" s="15"/>
    </row>
    <row r="4" spans="1:16" ht="12.75">
      <c r="A4" s="9"/>
      <c r="B4" s="9"/>
      <c r="C4" s="13"/>
      <c r="D4" s="9"/>
      <c r="E4" s="9"/>
      <c r="F4" s="10"/>
      <c r="G4" s="11"/>
      <c r="H4" s="11"/>
      <c r="I4" s="11"/>
      <c r="J4" s="16"/>
      <c r="K4" s="17"/>
      <c r="L4" s="17"/>
      <c r="M4" s="15"/>
      <c r="N4" s="15"/>
      <c r="O4" s="15"/>
      <c r="P4" s="15"/>
    </row>
    <row r="5" spans="1:16" ht="12.75">
      <c r="A5" s="18" t="s">
        <v>100</v>
      </c>
      <c r="B5" s="9"/>
      <c r="C5" s="13"/>
      <c r="D5" s="9"/>
      <c r="E5" s="9"/>
      <c r="F5" s="10"/>
      <c r="G5" s="11"/>
      <c r="H5" s="11"/>
      <c r="I5" s="11"/>
      <c r="J5" s="16"/>
      <c r="K5" s="17"/>
      <c r="L5" s="17"/>
      <c r="M5" s="15"/>
      <c r="N5" s="15"/>
      <c r="O5" s="15"/>
      <c r="P5" s="15"/>
    </row>
    <row r="6" spans="1:16" ht="12.75">
      <c r="A6" s="18" t="s">
        <v>37</v>
      </c>
      <c r="B6" s="9"/>
      <c r="C6" s="13"/>
      <c r="D6" s="9"/>
      <c r="E6" s="9"/>
      <c r="F6" s="10"/>
      <c r="G6" s="11"/>
      <c r="H6" s="11"/>
      <c r="I6" s="11"/>
      <c r="J6" s="16"/>
      <c r="K6" s="17"/>
      <c r="L6" s="17"/>
      <c r="M6" s="15"/>
      <c r="N6" s="15"/>
      <c r="O6" s="15"/>
      <c r="P6" s="15"/>
    </row>
    <row r="7" spans="1:16" ht="12.75">
      <c r="A7" s="9" t="s">
        <v>584</v>
      </c>
      <c r="B7" s="9"/>
      <c r="C7" s="13"/>
      <c r="D7" s="9"/>
      <c r="E7" s="9"/>
      <c r="F7" s="10"/>
      <c r="G7" s="11"/>
      <c r="H7" s="11"/>
      <c r="I7" s="11"/>
      <c r="J7" s="16"/>
      <c r="K7" s="17"/>
      <c r="L7" s="17"/>
      <c r="M7" s="15"/>
      <c r="N7" s="15"/>
      <c r="O7" s="15"/>
      <c r="P7" s="15"/>
    </row>
    <row r="8" spans="1:16" ht="12.75">
      <c r="A8" s="233" t="s">
        <v>99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2.75">
      <c r="A9" s="233" t="s">
        <v>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1:16" ht="12.75">
      <c r="A10" s="2" t="s">
        <v>561</v>
      </c>
      <c r="B10" s="2"/>
      <c r="C10" s="19"/>
      <c r="D10" s="2"/>
      <c r="E10" s="2"/>
      <c r="F10" s="20"/>
      <c r="G10" s="5"/>
      <c r="H10" s="21"/>
      <c r="I10" s="21"/>
      <c r="J10" s="16"/>
      <c r="K10" s="22"/>
      <c r="L10" s="22"/>
      <c r="M10" s="7"/>
      <c r="N10" s="7"/>
      <c r="O10" s="7"/>
      <c r="P10" s="23"/>
    </row>
    <row r="11" spans="1:16" ht="16.5" thickBot="1">
      <c r="A11" s="24" t="s">
        <v>1</v>
      </c>
      <c r="B11" s="2"/>
      <c r="C11" s="19"/>
      <c r="D11" s="2"/>
      <c r="E11" s="2"/>
      <c r="F11" s="20"/>
      <c r="G11" s="5"/>
      <c r="H11" s="21"/>
      <c r="I11" s="21"/>
      <c r="J11" s="16"/>
      <c r="K11" s="22"/>
      <c r="L11" s="22"/>
      <c r="M11" s="7"/>
      <c r="N11" s="7"/>
      <c r="O11" s="7"/>
      <c r="P11" s="23"/>
    </row>
    <row r="12" spans="1:16" ht="26.25" thickBot="1">
      <c r="A12" s="25" t="s">
        <v>38</v>
      </c>
      <c r="B12" s="25" t="s">
        <v>39</v>
      </c>
      <c r="C12" s="25" t="s">
        <v>40</v>
      </c>
      <c r="D12" s="25" t="s">
        <v>41</v>
      </c>
      <c r="E12" s="25" t="s">
        <v>42</v>
      </c>
      <c r="F12" s="26" t="s">
        <v>43</v>
      </c>
      <c r="G12" s="25" t="s">
        <v>44</v>
      </c>
      <c r="H12" s="27" t="s">
        <v>45</v>
      </c>
      <c r="I12" s="27" t="s">
        <v>46</v>
      </c>
      <c r="J12" s="27" t="s">
        <v>47</v>
      </c>
      <c r="K12" s="26" t="s">
        <v>48</v>
      </c>
      <c r="L12" s="26" t="s">
        <v>49</v>
      </c>
      <c r="M12" s="28" t="s">
        <v>50</v>
      </c>
      <c r="N12" s="29" t="s">
        <v>51</v>
      </c>
      <c r="O12" s="30" t="s">
        <v>52</v>
      </c>
      <c r="P12" s="31" t="s">
        <v>53</v>
      </c>
    </row>
    <row r="13" spans="1:18" ht="12.75">
      <c r="A13" s="32" t="s">
        <v>2</v>
      </c>
      <c r="B13" s="33" t="s">
        <v>54</v>
      </c>
      <c r="C13" s="34">
        <v>48928967.62</v>
      </c>
      <c r="D13" s="35">
        <v>35425013.63</v>
      </c>
      <c r="E13" s="35">
        <v>35150150.38</v>
      </c>
      <c r="F13" s="43">
        <v>34981089.35</v>
      </c>
      <c r="G13" s="36">
        <v>40974353.52</v>
      </c>
      <c r="H13" s="37">
        <v>34172938.48</v>
      </c>
      <c r="I13" s="37">
        <v>34296207.42</v>
      </c>
      <c r="J13" s="38">
        <v>34550025.11</v>
      </c>
      <c r="K13" s="37">
        <v>34207975.72</v>
      </c>
      <c r="L13" s="37">
        <v>34896273.2</v>
      </c>
      <c r="M13" s="37">
        <v>51017647.9</v>
      </c>
      <c r="N13" s="38">
        <v>33696187.57</v>
      </c>
      <c r="O13" s="38">
        <v>697806.86</v>
      </c>
      <c r="P13" s="37">
        <f>SUM(C13:O13)</f>
        <v>452994636.76</v>
      </c>
      <c r="R13" s="37"/>
    </row>
    <row r="14" spans="1:16" ht="21">
      <c r="A14" s="39" t="s">
        <v>3</v>
      </c>
      <c r="B14" s="40" t="s">
        <v>55</v>
      </c>
      <c r="C14" s="41">
        <v>14361695.63</v>
      </c>
      <c r="D14" s="42">
        <v>14373291.67</v>
      </c>
      <c r="E14" s="42">
        <v>14401547.81</v>
      </c>
      <c r="F14" s="43">
        <v>14354828.84</v>
      </c>
      <c r="G14" s="44">
        <v>21356085.05</v>
      </c>
      <c r="H14" s="45">
        <v>14745892.66</v>
      </c>
      <c r="I14" s="45">
        <v>14574104.04</v>
      </c>
      <c r="J14" s="46">
        <v>14709028.2</v>
      </c>
      <c r="K14" s="45">
        <v>14931116.96</v>
      </c>
      <c r="L14" s="45">
        <v>14732940.53</v>
      </c>
      <c r="M14" s="45">
        <v>22340807.27</v>
      </c>
      <c r="N14" s="46">
        <v>15499922.17</v>
      </c>
      <c r="O14" s="46">
        <v>892042.17</v>
      </c>
      <c r="P14" s="37">
        <f>SUM(C14:O14)</f>
        <v>191273302.99999997</v>
      </c>
    </row>
    <row r="15" spans="1:16" ht="21">
      <c r="A15" s="47" t="s">
        <v>4</v>
      </c>
      <c r="B15" s="48" t="s">
        <v>56</v>
      </c>
      <c r="C15" s="49">
        <v>6510426.09</v>
      </c>
      <c r="D15" s="50">
        <v>6469833.42</v>
      </c>
      <c r="E15" s="50">
        <v>6454617.75</v>
      </c>
      <c r="F15" s="36">
        <v>6437335.72</v>
      </c>
      <c r="G15" s="51">
        <v>6424592.22</v>
      </c>
      <c r="H15" s="37">
        <v>6436665.38</v>
      </c>
      <c r="I15" s="37">
        <v>6479011.57</v>
      </c>
      <c r="J15" s="37">
        <v>6456336.07</v>
      </c>
      <c r="K15" s="37">
        <v>6448521.91</v>
      </c>
      <c r="L15" s="37">
        <v>6492968.33</v>
      </c>
      <c r="M15" s="37">
        <v>12872364.11</v>
      </c>
      <c r="N15" s="37">
        <v>6448488.48</v>
      </c>
      <c r="O15" s="37">
        <v>251578.24</v>
      </c>
      <c r="P15" s="37">
        <f>SUM(C15:O15)</f>
        <v>84182739.28999999</v>
      </c>
    </row>
    <row r="16" spans="1:16" ht="94.5">
      <c r="A16" s="52" t="s">
        <v>5</v>
      </c>
      <c r="B16" s="53" t="s">
        <v>57</v>
      </c>
      <c r="C16" s="54">
        <v>0</v>
      </c>
      <c r="D16" s="42">
        <v>0</v>
      </c>
      <c r="E16" s="42">
        <v>0</v>
      </c>
      <c r="F16" s="55">
        <v>151742.47</v>
      </c>
      <c r="G16" s="44">
        <v>15840.56</v>
      </c>
      <c r="H16" s="45">
        <v>0</v>
      </c>
      <c r="I16" s="45">
        <v>0</v>
      </c>
      <c r="J16" s="45">
        <v>10554.06</v>
      </c>
      <c r="K16" s="37">
        <v>921300.28</v>
      </c>
      <c r="L16" s="37">
        <v>854111.25</v>
      </c>
      <c r="M16" s="37">
        <v>31120.06</v>
      </c>
      <c r="N16" s="37">
        <v>73579.88</v>
      </c>
      <c r="O16" s="37">
        <v>0</v>
      </c>
      <c r="P16" s="37">
        <f>SUM(C16:O16)</f>
        <v>2058248.56</v>
      </c>
    </row>
    <row r="17" spans="1:16" ht="13.5" thickBot="1">
      <c r="A17" s="56" t="s">
        <v>58</v>
      </c>
      <c r="B17" s="56"/>
      <c r="C17" s="57">
        <f>SUM(C13:C16)</f>
        <v>69801089.34</v>
      </c>
      <c r="D17" s="57">
        <f aca="true" t="shared" si="0" ref="D17:P17">SUM(D13:D16)</f>
        <v>56268138.720000006</v>
      </c>
      <c r="E17" s="57">
        <f t="shared" si="0"/>
        <v>56006315.940000005</v>
      </c>
      <c r="F17" s="57">
        <f t="shared" si="0"/>
        <v>55924996.379999995</v>
      </c>
      <c r="G17" s="57">
        <f t="shared" si="0"/>
        <v>68770871.35000001</v>
      </c>
      <c r="H17" s="57">
        <f t="shared" si="0"/>
        <v>55355496.52</v>
      </c>
      <c r="I17" s="57">
        <f t="shared" si="0"/>
        <v>55349323.03</v>
      </c>
      <c r="J17" s="57">
        <f t="shared" si="0"/>
        <v>55725943.440000005</v>
      </c>
      <c r="K17" s="57">
        <f t="shared" si="0"/>
        <v>56508914.870000005</v>
      </c>
      <c r="L17" s="57">
        <f t="shared" si="0"/>
        <v>56976293.31</v>
      </c>
      <c r="M17" s="57">
        <f t="shared" si="0"/>
        <v>86261939.34</v>
      </c>
      <c r="N17" s="57">
        <f t="shared" si="0"/>
        <v>55718178.1</v>
      </c>
      <c r="O17" s="57">
        <f t="shared" si="0"/>
        <v>1841427.27</v>
      </c>
      <c r="P17" s="57">
        <f t="shared" si="0"/>
        <v>730508927.6099999</v>
      </c>
    </row>
    <row r="18" spans="1:16" ht="13.5" thickTop="1">
      <c r="A18" s="58"/>
      <c r="B18" s="59"/>
      <c r="C18" s="60"/>
      <c r="D18" s="58"/>
      <c r="E18" s="58"/>
      <c r="F18" s="61"/>
      <c r="G18" s="62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6.5" thickBot="1">
      <c r="A19" s="24" t="s">
        <v>6</v>
      </c>
      <c r="B19" s="2"/>
      <c r="C19" s="19"/>
      <c r="D19" s="2"/>
      <c r="E19" s="2"/>
      <c r="F19" s="20"/>
      <c r="G19" s="5"/>
      <c r="H19" s="21"/>
      <c r="I19" s="21"/>
      <c r="J19" s="16"/>
      <c r="K19" s="22"/>
      <c r="L19" s="22"/>
      <c r="M19" s="7"/>
      <c r="N19" s="7"/>
      <c r="O19" s="7"/>
      <c r="P19" s="23"/>
    </row>
    <row r="20" spans="1:16" ht="26.25" thickBot="1">
      <c r="A20" s="63" t="s">
        <v>38</v>
      </c>
      <c r="B20" s="63" t="s">
        <v>39</v>
      </c>
      <c r="C20" s="25" t="s">
        <v>40</v>
      </c>
      <c r="D20" s="25" t="s">
        <v>41</v>
      </c>
      <c r="E20" s="25" t="s">
        <v>42</v>
      </c>
      <c r="F20" s="26" t="s">
        <v>43</v>
      </c>
      <c r="G20" s="25" t="s">
        <v>44</v>
      </c>
      <c r="H20" s="27" t="s">
        <v>45</v>
      </c>
      <c r="I20" s="27" t="s">
        <v>46</v>
      </c>
      <c r="J20" s="27" t="s">
        <v>47</v>
      </c>
      <c r="K20" s="26" t="s">
        <v>48</v>
      </c>
      <c r="L20" s="26" t="s">
        <v>49</v>
      </c>
      <c r="M20" s="28" t="s">
        <v>50</v>
      </c>
      <c r="N20" s="29" t="s">
        <v>51</v>
      </c>
      <c r="O20" s="30" t="s">
        <v>52</v>
      </c>
      <c r="P20" s="64" t="s">
        <v>53</v>
      </c>
    </row>
    <row r="21" spans="1:16" ht="21">
      <c r="A21" s="39" t="s">
        <v>2</v>
      </c>
      <c r="B21" s="40" t="s">
        <v>59</v>
      </c>
      <c r="C21" s="65">
        <v>65143.34</v>
      </c>
      <c r="D21" s="66">
        <v>103299.9</v>
      </c>
      <c r="E21" s="66">
        <v>96868.26</v>
      </c>
      <c r="F21" s="67">
        <v>104112.2</v>
      </c>
      <c r="G21" s="68">
        <v>82091.61</v>
      </c>
      <c r="H21" s="69">
        <v>117181.24</v>
      </c>
      <c r="I21" s="69">
        <v>131591.29</v>
      </c>
      <c r="J21" s="70">
        <v>82518.53</v>
      </c>
      <c r="K21" s="69">
        <v>89821.05</v>
      </c>
      <c r="L21" s="69">
        <v>102817.09</v>
      </c>
      <c r="M21" s="69">
        <v>80706.91</v>
      </c>
      <c r="N21" s="70">
        <v>96614.72</v>
      </c>
      <c r="O21" s="70">
        <v>268147.6</v>
      </c>
      <c r="P21" s="69">
        <f aca="true" t="shared" si="1" ref="P21:P46">SUM(C21:O21)</f>
        <v>1420913.7400000002</v>
      </c>
    </row>
    <row r="22" spans="1:16" ht="21">
      <c r="A22" s="39" t="s">
        <v>3</v>
      </c>
      <c r="B22" s="40" t="s">
        <v>60</v>
      </c>
      <c r="C22" s="71">
        <v>1841288.17</v>
      </c>
      <c r="D22" s="72">
        <v>1838499.79</v>
      </c>
      <c r="E22" s="72">
        <v>1833480.12</v>
      </c>
      <c r="F22" s="73">
        <v>2372409.93</v>
      </c>
      <c r="G22" s="74">
        <v>1931915.79</v>
      </c>
      <c r="H22" s="75">
        <v>6992961.82</v>
      </c>
      <c r="I22" s="75">
        <v>1981072.8</v>
      </c>
      <c r="J22" s="76">
        <v>1990215.38</v>
      </c>
      <c r="K22" s="75">
        <v>1967074.95</v>
      </c>
      <c r="L22" s="75">
        <v>1968050.22</v>
      </c>
      <c r="M22" s="75">
        <v>1963504.28</v>
      </c>
      <c r="N22" s="76">
        <v>1961077.5</v>
      </c>
      <c r="O22" s="76">
        <v>287934.25</v>
      </c>
      <c r="P22" s="69">
        <f t="shared" si="1"/>
        <v>28929485</v>
      </c>
    </row>
    <row r="23" spans="1:16" ht="21">
      <c r="A23" s="39" t="s">
        <v>4</v>
      </c>
      <c r="B23" s="40" t="s">
        <v>61</v>
      </c>
      <c r="C23" s="71">
        <v>297678.28</v>
      </c>
      <c r="D23" s="77">
        <v>306043.8</v>
      </c>
      <c r="E23" s="77">
        <v>295164.54</v>
      </c>
      <c r="F23" s="78">
        <v>365390.88</v>
      </c>
      <c r="G23" s="68">
        <v>315029.63</v>
      </c>
      <c r="H23" s="69">
        <v>320160.42</v>
      </c>
      <c r="I23" s="69">
        <v>324266.4</v>
      </c>
      <c r="J23" s="69">
        <v>322037.14</v>
      </c>
      <c r="K23" s="69">
        <v>323630.43</v>
      </c>
      <c r="L23" s="69">
        <v>322043.51</v>
      </c>
      <c r="M23" s="69">
        <v>318022.83</v>
      </c>
      <c r="N23" s="69">
        <v>316670.37</v>
      </c>
      <c r="O23" s="69">
        <v>177822.77</v>
      </c>
      <c r="P23" s="69">
        <f t="shared" si="1"/>
        <v>4003961.0000000005</v>
      </c>
    </row>
    <row r="24" spans="1:16" ht="31.5">
      <c r="A24" s="39" t="s">
        <v>5</v>
      </c>
      <c r="B24" s="40" t="s">
        <v>62</v>
      </c>
      <c r="C24" s="42">
        <v>927490.96</v>
      </c>
      <c r="D24" s="77">
        <v>949423.52</v>
      </c>
      <c r="E24" s="77">
        <v>943418.67</v>
      </c>
      <c r="F24" s="78">
        <v>957567.4</v>
      </c>
      <c r="G24" s="68">
        <v>954209.44</v>
      </c>
      <c r="H24" s="69">
        <v>948824.71</v>
      </c>
      <c r="I24" s="69">
        <v>943031.25</v>
      </c>
      <c r="J24" s="69">
        <v>957932.73</v>
      </c>
      <c r="K24" s="69">
        <v>992516.42</v>
      </c>
      <c r="L24" s="69">
        <v>977678.36</v>
      </c>
      <c r="M24" s="37">
        <v>5454609.8</v>
      </c>
      <c r="N24" s="69">
        <v>974334.43</v>
      </c>
      <c r="O24" s="42">
        <v>5499.11</v>
      </c>
      <c r="P24" s="69">
        <f t="shared" si="1"/>
        <v>15986536.799999997</v>
      </c>
    </row>
    <row r="25" spans="1:16" ht="21">
      <c r="A25" s="39" t="s">
        <v>7</v>
      </c>
      <c r="B25" s="40" t="s">
        <v>63</v>
      </c>
      <c r="C25" s="71">
        <v>88541.61</v>
      </c>
      <c r="D25" s="77">
        <v>145581.02</v>
      </c>
      <c r="E25" s="77">
        <v>259202.71</v>
      </c>
      <c r="F25" s="78">
        <v>140657.2</v>
      </c>
      <c r="G25" s="68">
        <v>219000.17</v>
      </c>
      <c r="H25" s="69">
        <v>149203.55</v>
      </c>
      <c r="I25" s="69">
        <v>119894.1</v>
      </c>
      <c r="J25" s="69">
        <v>256161.75</v>
      </c>
      <c r="K25" s="69">
        <v>410253.42</v>
      </c>
      <c r="L25" s="69">
        <v>265486.65</v>
      </c>
      <c r="M25" s="69">
        <v>530240.73</v>
      </c>
      <c r="N25" s="69">
        <v>105297.57</v>
      </c>
      <c r="O25" s="42"/>
      <c r="P25" s="69">
        <f t="shared" si="1"/>
        <v>2689520.48</v>
      </c>
    </row>
    <row r="26" spans="1:16" ht="21">
      <c r="A26" s="39" t="s">
        <v>8</v>
      </c>
      <c r="B26" s="40" t="s">
        <v>64</v>
      </c>
      <c r="C26" s="71">
        <v>3583.28</v>
      </c>
      <c r="D26" s="77">
        <v>17820.3</v>
      </c>
      <c r="E26" s="77">
        <v>69929.59</v>
      </c>
      <c r="F26" s="78">
        <v>15049.99</v>
      </c>
      <c r="G26" s="68">
        <v>93196.16</v>
      </c>
      <c r="H26" s="69">
        <v>20430.19</v>
      </c>
      <c r="I26" s="69">
        <v>39604.39</v>
      </c>
      <c r="J26" s="69">
        <v>78633.08</v>
      </c>
      <c r="K26" s="69">
        <v>56069.03</v>
      </c>
      <c r="L26" s="69">
        <v>53417.82</v>
      </c>
      <c r="M26" s="69">
        <v>67061.43</v>
      </c>
      <c r="N26" s="69">
        <v>55212.59</v>
      </c>
      <c r="O26" s="69">
        <v>10000</v>
      </c>
      <c r="P26" s="69">
        <f t="shared" si="1"/>
        <v>580007.85</v>
      </c>
    </row>
    <row r="27" spans="1:16" ht="21">
      <c r="A27" s="39" t="s">
        <v>9</v>
      </c>
      <c r="B27" s="40" t="s">
        <v>65</v>
      </c>
      <c r="C27" s="71">
        <v>191940.96</v>
      </c>
      <c r="D27" s="77">
        <v>266087.72</v>
      </c>
      <c r="E27" s="77">
        <v>309813.2</v>
      </c>
      <c r="F27" s="78">
        <v>531574.9</v>
      </c>
      <c r="G27" s="68">
        <v>449430.75</v>
      </c>
      <c r="H27" s="69">
        <v>358434.81</v>
      </c>
      <c r="I27" s="69">
        <v>369648.6</v>
      </c>
      <c r="J27" s="69">
        <v>308065.96</v>
      </c>
      <c r="K27" s="69">
        <v>420616.31</v>
      </c>
      <c r="L27" s="69">
        <v>536503.23</v>
      </c>
      <c r="M27" s="69">
        <v>411855.19</v>
      </c>
      <c r="N27" s="69">
        <v>411779.13</v>
      </c>
      <c r="O27" s="69">
        <v>61562.24</v>
      </c>
      <c r="P27" s="69">
        <f t="shared" si="1"/>
        <v>4627313</v>
      </c>
    </row>
    <row r="28" spans="1:16" ht="12.75">
      <c r="A28" s="39" t="s">
        <v>11</v>
      </c>
      <c r="B28" s="40" t="s">
        <v>10</v>
      </c>
      <c r="C28" s="71">
        <v>3846.9</v>
      </c>
      <c r="D28" s="77">
        <v>29768.61</v>
      </c>
      <c r="E28" s="77">
        <v>42274.65</v>
      </c>
      <c r="F28" s="78">
        <v>444946.33</v>
      </c>
      <c r="G28" s="68">
        <v>184409.07</v>
      </c>
      <c r="H28" s="69">
        <v>160529.07</v>
      </c>
      <c r="I28" s="69">
        <v>203761.61</v>
      </c>
      <c r="J28" s="69">
        <v>191940.6</v>
      </c>
      <c r="K28" s="69">
        <v>212097.95</v>
      </c>
      <c r="L28" s="69">
        <v>60331.67</v>
      </c>
      <c r="M28" s="69">
        <v>333860.31</v>
      </c>
      <c r="N28" s="69">
        <v>178920.16</v>
      </c>
      <c r="O28" s="69">
        <v>180517.28</v>
      </c>
      <c r="P28" s="69">
        <f t="shared" si="1"/>
        <v>2227204.21</v>
      </c>
    </row>
    <row r="29" spans="1:16" ht="12.75">
      <c r="A29" s="39" t="s">
        <v>12</v>
      </c>
      <c r="B29" s="40" t="s">
        <v>66</v>
      </c>
      <c r="C29" s="71">
        <v>602.92</v>
      </c>
      <c r="D29" s="77">
        <v>93943.28</v>
      </c>
      <c r="E29" s="77">
        <v>96875.34</v>
      </c>
      <c r="F29" s="78">
        <v>103009.34</v>
      </c>
      <c r="G29" s="68">
        <v>94603.8</v>
      </c>
      <c r="H29" s="69">
        <v>96074.51</v>
      </c>
      <c r="I29" s="69">
        <v>108740.93</v>
      </c>
      <c r="J29" s="69">
        <v>106768.19</v>
      </c>
      <c r="K29" s="69">
        <v>97857.44</v>
      </c>
      <c r="L29" s="69">
        <v>91608.25</v>
      </c>
      <c r="M29" s="69">
        <v>100185.31</v>
      </c>
      <c r="N29" s="69">
        <v>90150.81</v>
      </c>
      <c r="O29" s="69">
        <v>50959.95</v>
      </c>
      <c r="P29" s="69">
        <f t="shared" si="1"/>
        <v>1131380.07</v>
      </c>
    </row>
    <row r="30" spans="1:16" ht="12.75">
      <c r="A30" s="39" t="s">
        <v>13</v>
      </c>
      <c r="B30" s="40" t="s">
        <v>67</v>
      </c>
      <c r="C30" s="42">
        <v>0</v>
      </c>
      <c r="D30" s="77">
        <v>225020.6</v>
      </c>
      <c r="E30" s="77">
        <v>239150.05</v>
      </c>
      <c r="F30" s="78">
        <v>228289.32</v>
      </c>
      <c r="G30" s="68">
        <v>288925.99</v>
      </c>
      <c r="H30" s="69">
        <v>274709.44</v>
      </c>
      <c r="I30" s="69">
        <v>253050.97</v>
      </c>
      <c r="J30" s="69">
        <v>238874</v>
      </c>
      <c r="K30" s="69">
        <v>252724.87</v>
      </c>
      <c r="L30" s="69">
        <v>283099.91</v>
      </c>
      <c r="M30" s="69">
        <v>283497.34</v>
      </c>
      <c r="N30" s="69">
        <v>311848.69</v>
      </c>
      <c r="O30" s="69">
        <v>266450.27</v>
      </c>
      <c r="P30" s="69">
        <f t="shared" si="1"/>
        <v>3145641.4499999997</v>
      </c>
    </row>
    <row r="31" spans="1:16" ht="12.75">
      <c r="A31" s="39" t="s">
        <v>14</v>
      </c>
      <c r="B31" s="40" t="s">
        <v>68</v>
      </c>
      <c r="C31" s="100">
        <v>0</v>
      </c>
      <c r="D31" s="42">
        <v>12188.93</v>
      </c>
      <c r="E31" s="42">
        <v>0</v>
      </c>
      <c r="F31" s="78">
        <v>0</v>
      </c>
      <c r="G31" s="68">
        <v>0</v>
      </c>
      <c r="H31" s="69">
        <v>0</v>
      </c>
      <c r="I31" s="69">
        <v>0</v>
      </c>
      <c r="J31" s="69">
        <v>0</v>
      </c>
      <c r="K31" s="69">
        <v>54579.81</v>
      </c>
      <c r="L31" s="69">
        <v>767663.42</v>
      </c>
      <c r="M31" s="69">
        <v>56090.1</v>
      </c>
      <c r="N31" s="69">
        <v>56158.42</v>
      </c>
      <c r="O31" s="69">
        <v>787629.44</v>
      </c>
      <c r="P31" s="69">
        <f t="shared" si="1"/>
        <v>1734310.12</v>
      </c>
    </row>
    <row r="32" spans="1:16" ht="12.75">
      <c r="A32" s="39" t="s">
        <v>15</v>
      </c>
      <c r="B32" s="40" t="s">
        <v>69</v>
      </c>
      <c r="C32" s="71">
        <v>34866.15</v>
      </c>
      <c r="D32" s="77">
        <v>145652.43</v>
      </c>
      <c r="E32" s="77">
        <v>170406.41</v>
      </c>
      <c r="F32" s="78">
        <v>203962.12</v>
      </c>
      <c r="G32" s="68">
        <v>177133</v>
      </c>
      <c r="H32" s="69">
        <v>204939.2</v>
      </c>
      <c r="I32" s="69">
        <v>152142.39</v>
      </c>
      <c r="J32" s="69">
        <v>248400.29</v>
      </c>
      <c r="K32" s="69">
        <v>225801.57</v>
      </c>
      <c r="L32" s="69">
        <v>216643.23</v>
      </c>
      <c r="M32" s="69">
        <v>231983.51</v>
      </c>
      <c r="N32" s="69">
        <v>184076.18</v>
      </c>
      <c r="O32" s="69">
        <v>138886.64</v>
      </c>
      <c r="P32" s="69">
        <f t="shared" si="1"/>
        <v>2334893.1200000006</v>
      </c>
    </row>
    <row r="33" spans="1:16" ht="94.5">
      <c r="A33" s="39" t="s">
        <v>16</v>
      </c>
      <c r="B33" s="79" t="s">
        <v>70</v>
      </c>
      <c r="C33" s="42">
        <v>40829.14</v>
      </c>
      <c r="D33" s="77">
        <v>86708.64</v>
      </c>
      <c r="E33" s="77">
        <v>193715.46</v>
      </c>
      <c r="F33" s="78">
        <v>920111.49</v>
      </c>
      <c r="G33" s="68">
        <v>357580.25</v>
      </c>
      <c r="H33" s="69">
        <v>111915.78</v>
      </c>
      <c r="I33" s="69">
        <v>299965.78</v>
      </c>
      <c r="J33" s="69">
        <v>-517033.58</v>
      </c>
      <c r="K33" s="69">
        <v>301076.91</v>
      </c>
      <c r="L33" s="69">
        <v>626244.48</v>
      </c>
      <c r="M33" s="69">
        <v>94894.34</v>
      </c>
      <c r="N33" s="69">
        <v>354348.79</v>
      </c>
      <c r="O33" s="69">
        <v>956927.54</v>
      </c>
      <c r="P33" s="69">
        <f t="shared" si="1"/>
        <v>3827285.0199999996</v>
      </c>
    </row>
    <row r="34" spans="1:16" ht="12.75">
      <c r="A34" s="39" t="s">
        <v>17</v>
      </c>
      <c r="B34" s="40" t="s">
        <v>71</v>
      </c>
      <c r="C34" s="42">
        <v>278193.02</v>
      </c>
      <c r="D34" s="71">
        <v>341517.35</v>
      </c>
      <c r="E34" s="42">
        <v>21853.82</v>
      </c>
      <c r="F34" s="77">
        <v>361472.42</v>
      </c>
      <c r="G34" s="78">
        <v>369518.91</v>
      </c>
      <c r="H34" s="68">
        <v>489101.29</v>
      </c>
      <c r="I34" s="69">
        <v>777730.83</v>
      </c>
      <c r="J34" s="69">
        <v>8658.49</v>
      </c>
      <c r="K34" s="69">
        <v>387836.5</v>
      </c>
      <c r="L34" s="69">
        <v>777100.91</v>
      </c>
      <c r="M34" s="69">
        <v>3108.95</v>
      </c>
      <c r="N34" s="69">
        <v>777961.11</v>
      </c>
      <c r="O34" s="42">
        <v>157043.65</v>
      </c>
      <c r="P34" s="42">
        <f t="shared" si="1"/>
        <v>4751097.250000001</v>
      </c>
    </row>
    <row r="35" spans="1:16" ht="21">
      <c r="A35" s="39" t="s">
        <v>18</v>
      </c>
      <c r="B35" s="40" t="s">
        <v>72</v>
      </c>
      <c r="C35" s="42">
        <v>512</v>
      </c>
      <c r="D35" s="77">
        <v>418345.6</v>
      </c>
      <c r="E35" s="42">
        <v>418058.6</v>
      </c>
      <c r="F35" s="78">
        <v>418857.6</v>
      </c>
      <c r="G35" s="68">
        <v>435373.3</v>
      </c>
      <c r="H35" s="69">
        <v>153592.7</v>
      </c>
      <c r="I35" s="69">
        <v>-148786.03</v>
      </c>
      <c r="J35" s="69">
        <v>1515045.2</v>
      </c>
      <c r="K35" s="69">
        <v>647105.38</v>
      </c>
      <c r="L35" s="42">
        <v>1016019.04</v>
      </c>
      <c r="M35" s="69">
        <v>521437.44</v>
      </c>
      <c r="N35" s="69">
        <v>559574.16</v>
      </c>
      <c r="O35" s="69">
        <v>523175.8</v>
      </c>
      <c r="P35" s="42">
        <f t="shared" si="1"/>
        <v>6478310.79</v>
      </c>
    </row>
    <row r="36" spans="1:16" ht="12.75">
      <c r="A36" s="39" t="s">
        <v>19</v>
      </c>
      <c r="B36" s="40" t="s">
        <v>73</v>
      </c>
      <c r="C36" s="42">
        <v>390.56</v>
      </c>
      <c r="D36" s="42">
        <v>5467.84</v>
      </c>
      <c r="E36" s="42">
        <v>1952.8</v>
      </c>
      <c r="F36" s="42">
        <v>2733.92</v>
      </c>
      <c r="G36" s="42">
        <v>20880.96</v>
      </c>
      <c r="H36" s="42">
        <v>390.56</v>
      </c>
      <c r="I36" s="42">
        <v>6951.1</v>
      </c>
      <c r="J36" s="42">
        <v>4405.76</v>
      </c>
      <c r="K36" s="42">
        <v>9545.14</v>
      </c>
      <c r="L36" s="42">
        <v>6501.66</v>
      </c>
      <c r="M36" s="42">
        <v>7868.31</v>
      </c>
      <c r="N36" s="42">
        <v>2156.27</v>
      </c>
      <c r="O36" s="42">
        <v>32835.36</v>
      </c>
      <c r="P36" s="42">
        <f t="shared" si="1"/>
        <v>102080.24</v>
      </c>
    </row>
    <row r="37" spans="1:16" ht="31.5">
      <c r="A37" s="39" t="s">
        <v>20</v>
      </c>
      <c r="B37" s="40" t="s">
        <v>74</v>
      </c>
      <c r="C37" s="42">
        <v>5772.35</v>
      </c>
      <c r="D37" s="77">
        <v>536414.44</v>
      </c>
      <c r="E37" s="77">
        <v>367577.36</v>
      </c>
      <c r="F37" s="78">
        <v>443299.05</v>
      </c>
      <c r="G37" s="68">
        <v>566956.03</v>
      </c>
      <c r="H37" s="69">
        <v>327242.77</v>
      </c>
      <c r="I37" s="69">
        <v>530532</v>
      </c>
      <c r="J37" s="69">
        <v>468002.39</v>
      </c>
      <c r="K37" s="69">
        <v>523565.51</v>
      </c>
      <c r="L37" s="69">
        <v>565646.47</v>
      </c>
      <c r="M37" s="69">
        <v>532284.93</v>
      </c>
      <c r="N37" s="69">
        <v>506185.55</v>
      </c>
      <c r="O37" s="69">
        <v>464421.34</v>
      </c>
      <c r="P37" s="42">
        <f t="shared" si="1"/>
        <v>5837900.1899999995</v>
      </c>
    </row>
    <row r="38" spans="1:16" ht="12.75">
      <c r="A38" s="39" t="s">
        <v>21</v>
      </c>
      <c r="B38" s="40" t="s">
        <v>75</v>
      </c>
      <c r="C38" s="71">
        <v>5622.5</v>
      </c>
      <c r="D38" s="77">
        <v>16463.56</v>
      </c>
      <c r="E38" s="77">
        <v>32653.46</v>
      </c>
      <c r="F38" s="78">
        <v>98623.77</v>
      </c>
      <c r="G38" s="68">
        <v>80082.73</v>
      </c>
      <c r="H38" s="69">
        <v>108032.34</v>
      </c>
      <c r="I38" s="69">
        <v>120542.7</v>
      </c>
      <c r="J38" s="69">
        <v>129546.88</v>
      </c>
      <c r="K38" s="69">
        <v>77360.49</v>
      </c>
      <c r="L38" s="69">
        <v>130388.96</v>
      </c>
      <c r="M38" s="69">
        <v>97492.75</v>
      </c>
      <c r="N38" s="69">
        <v>429057.29</v>
      </c>
      <c r="O38" s="69">
        <v>1035380.33</v>
      </c>
      <c r="P38" s="69">
        <f t="shared" si="1"/>
        <v>2361247.76</v>
      </c>
    </row>
    <row r="39" spans="1:16" ht="12.75">
      <c r="A39" s="39" t="s">
        <v>22</v>
      </c>
      <c r="B39" s="40" t="s">
        <v>76</v>
      </c>
      <c r="C39" s="42">
        <v>0</v>
      </c>
      <c r="D39" s="71">
        <v>1870.71</v>
      </c>
      <c r="E39" s="77">
        <v>541.1</v>
      </c>
      <c r="F39" s="78">
        <v>36759.86</v>
      </c>
      <c r="G39" s="68">
        <v>3058</v>
      </c>
      <c r="H39" s="69">
        <v>3096.9</v>
      </c>
      <c r="I39" s="69">
        <v>35534.15</v>
      </c>
      <c r="J39" s="69">
        <v>10507.87</v>
      </c>
      <c r="K39" s="69">
        <v>3536.74</v>
      </c>
      <c r="L39" s="69">
        <v>26536.71</v>
      </c>
      <c r="M39" s="69">
        <v>25727.19</v>
      </c>
      <c r="N39" s="69">
        <v>7229.36</v>
      </c>
      <c r="O39" s="69">
        <v>356299.29</v>
      </c>
      <c r="P39" s="69">
        <f t="shared" si="1"/>
        <v>510697.88</v>
      </c>
    </row>
    <row r="40" spans="1:16" ht="31.5">
      <c r="A40" s="39" t="s">
        <v>23</v>
      </c>
      <c r="B40" s="40" t="s">
        <v>77</v>
      </c>
      <c r="C40" s="42">
        <v>0</v>
      </c>
      <c r="D40" s="42">
        <v>700</v>
      </c>
      <c r="E40" s="42">
        <v>243.8</v>
      </c>
      <c r="F40" s="78">
        <v>0</v>
      </c>
      <c r="G40" s="68">
        <v>8888.4</v>
      </c>
      <c r="H40" s="69">
        <v>541.2</v>
      </c>
      <c r="I40" s="69">
        <v>7778.15</v>
      </c>
      <c r="J40" s="69">
        <v>611</v>
      </c>
      <c r="K40" s="69">
        <v>1775</v>
      </c>
      <c r="L40" s="69">
        <v>1924.6</v>
      </c>
      <c r="M40" s="42">
        <v>1070.4</v>
      </c>
      <c r="N40" s="69">
        <v>84.2</v>
      </c>
      <c r="O40" s="69">
        <v>4880</v>
      </c>
      <c r="P40" s="42">
        <f t="shared" si="1"/>
        <v>28496.75</v>
      </c>
    </row>
    <row r="41" spans="1:16" ht="12.75">
      <c r="A41" s="39" t="s">
        <v>24</v>
      </c>
      <c r="B41" s="40" t="s">
        <v>78</v>
      </c>
      <c r="C41" s="42">
        <v>0</v>
      </c>
      <c r="D41" s="42">
        <v>9159.14</v>
      </c>
      <c r="E41" s="42">
        <v>0</v>
      </c>
      <c r="F41" s="78">
        <v>2822.29</v>
      </c>
      <c r="G41" s="42">
        <v>0</v>
      </c>
      <c r="H41" s="42">
        <v>0</v>
      </c>
      <c r="I41" s="42">
        <v>0</v>
      </c>
      <c r="J41" s="42">
        <v>0</v>
      </c>
      <c r="K41" s="42">
        <v>5061.38</v>
      </c>
      <c r="L41" s="42">
        <v>624.8</v>
      </c>
      <c r="M41" s="42">
        <v>14637.68</v>
      </c>
      <c r="N41" s="42">
        <v>0</v>
      </c>
      <c r="O41" s="42">
        <v>23246.91</v>
      </c>
      <c r="P41" s="42">
        <f t="shared" si="1"/>
        <v>55552.2</v>
      </c>
    </row>
    <row r="42" spans="1:16" ht="21">
      <c r="A42" s="39" t="s">
        <v>25</v>
      </c>
      <c r="B42" s="40" t="s">
        <v>79</v>
      </c>
      <c r="C42" s="42">
        <v>5939.6</v>
      </c>
      <c r="D42" s="42">
        <v>25890.5</v>
      </c>
      <c r="E42" s="77">
        <v>21325.26</v>
      </c>
      <c r="F42" s="78">
        <v>26439.16</v>
      </c>
      <c r="G42" s="42">
        <v>25622.55</v>
      </c>
      <c r="H42" s="42">
        <v>27487.19</v>
      </c>
      <c r="I42" s="69">
        <v>18458.19</v>
      </c>
      <c r="J42" s="69">
        <v>24906.23</v>
      </c>
      <c r="K42" s="42">
        <v>26864.54</v>
      </c>
      <c r="L42" s="99">
        <v>27033.81</v>
      </c>
      <c r="M42" s="42">
        <v>34188.3</v>
      </c>
      <c r="N42" s="69">
        <v>34734.56</v>
      </c>
      <c r="O42" s="42">
        <v>12000</v>
      </c>
      <c r="P42" s="42">
        <f t="shared" si="1"/>
        <v>310889.89</v>
      </c>
    </row>
    <row r="43" spans="1:16" ht="12.75">
      <c r="A43" s="39" t="s">
        <v>26</v>
      </c>
      <c r="B43" s="40" t="s">
        <v>80</v>
      </c>
      <c r="C43" s="71">
        <v>1708.15</v>
      </c>
      <c r="D43" s="77">
        <v>2671.62</v>
      </c>
      <c r="E43" s="77">
        <v>20107.58</v>
      </c>
      <c r="F43" s="78">
        <v>7669.7</v>
      </c>
      <c r="G43" s="68">
        <v>18351.74</v>
      </c>
      <c r="H43" s="69">
        <v>6540.09</v>
      </c>
      <c r="I43" s="69">
        <v>15488.26</v>
      </c>
      <c r="J43" s="69">
        <v>11016.32</v>
      </c>
      <c r="K43" s="69">
        <v>18171.41</v>
      </c>
      <c r="L43" s="69">
        <v>16733.7</v>
      </c>
      <c r="M43" s="69">
        <v>11159.24</v>
      </c>
      <c r="N43" s="69">
        <v>35434.24</v>
      </c>
      <c r="O43" s="69">
        <v>29032.17</v>
      </c>
      <c r="P43" s="42">
        <f t="shared" si="1"/>
        <v>194084.21999999997</v>
      </c>
    </row>
    <row r="44" spans="1:16" ht="31.5">
      <c r="A44" s="39" t="s">
        <v>27</v>
      </c>
      <c r="B44" s="40" t="s">
        <v>81</v>
      </c>
      <c r="C44" s="71">
        <v>89134.64</v>
      </c>
      <c r="D44" s="77">
        <v>12459.7</v>
      </c>
      <c r="E44" s="77">
        <v>42822.52</v>
      </c>
      <c r="F44" s="78">
        <v>96553.66</v>
      </c>
      <c r="G44" s="68">
        <v>71222.05</v>
      </c>
      <c r="H44" s="69">
        <v>145502.07</v>
      </c>
      <c r="I44" s="69">
        <v>111944.66</v>
      </c>
      <c r="J44" s="69">
        <v>35799.67</v>
      </c>
      <c r="K44" s="69">
        <v>59549.27</v>
      </c>
      <c r="L44" s="69">
        <v>64018.4</v>
      </c>
      <c r="M44" s="69">
        <v>62976.46</v>
      </c>
      <c r="N44" s="69">
        <v>24383.63</v>
      </c>
      <c r="O44" s="69">
        <v>159081.45</v>
      </c>
      <c r="P44" s="42">
        <f t="shared" si="1"/>
        <v>975448.1800000002</v>
      </c>
    </row>
    <row r="45" spans="1:16" ht="21">
      <c r="A45" s="39" t="s">
        <v>28</v>
      </c>
      <c r="B45" s="40" t="s">
        <v>82</v>
      </c>
      <c r="C45" s="71">
        <v>0</v>
      </c>
      <c r="D45" s="77">
        <v>245070.35</v>
      </c>
      <c r="E45" s="77">
        <v>121982.02</v>
      </c>
      <c r="F45" s="42">
        <v>121777.75</v>
      </c>
      <c r="G45" s="68">
        <v>120683.72</v>
      </c>
      <c r="H45" s="69">
        <v>127675.76</v>
      </c>
      <c r="I45" s="69">
        <v>134949.14</v>
      </c>
      <c r="J45" s="69">
        <v>105907.35</v>
      </c>
      <c r="K45" s="69">
        <v>112853.94</v>
      </c>
      <c r="L45" s="69">
        <v>109837.12</v>
      </c>
      <c r="M45" s="42">
        <v>110654.1</v>
      </c>
      <c r="N45" s="69">
        <v>109377.1</v>
      </c>
      <c r="O45" s="42">
        <v>1694.85</v>
      </c>
      <c r="P45" s="42">
        <f t="shared" si="1"/>
        <v>1422463.2000000002</v>
      </c>
    </row>
    <row r="46" spans="1:16" ht="12.75">
      <c r="A46" s="39" t="s">
        <v>29</v>
      </c>
      <c r="B46" s="40" t="s">
        <v>30</v>
      </c>
      <c r="C46" s="71">
        <v>1288261.15</v>
      </c>
      <c r="D46" s="77">
        <v>528119.3</v>
      </c>
      <c r="E46" s="77">
        <v>699344.39</v>
      </c>
      <c r="F46" s="78">
        <v>594678.55</v>
      </c>
      <c r="G46" s="68">
        <v>717712.08</v>
      </c>
      <c r="H46" s="69">
        <v>630922.85</v>
      </c>
      <c r="I46" s="69">
        <v>1529266.61</v>
      </c>
      <c r="J46" s="69">
        <v>766009.67</v>
      </c>
      <c r="K46" s="69">
        <v>881910.97</v>
      </c>
      <c r="L46" s="69">
        <v>2348613.21</v>
      </c>
      <c r="M46" s="69">
        <v>1930553.48</v>
      </c>
      <c r="N46" s="69">
        <v>2825205.6</v>
      </c>
      <c r="O46" s="69">
        <v>2854715.02</v>
      </c>
      <c r="P46" s="42">
        <f t="shared" si="1"/>
        <v>17595312.88</v>
      </c>
    </row>
    <row r="47" spans="1:16" ht="21" customHeight="1" thickBot="1">
      <c r="A47" s="56" t="s">
        <v>58</v>
      </c>
      <c r="B47" s="80"/>
      <c r="C47" s="81">
        <f>SUM(C21:C46)</f>
        <v>5171345.68</v>
      </c>
      <c r="D47" s="81">
        <f>SUM(D21:D46)</f>
        <v>6364188.6499999985</v>
      </c>
      <c r="E47" s="82">
        <f aca="true" t="shared" si="2" ref="E47:P47">SUM(E21:E46)</f>
        <v>6298761.709999997</v>
      </c>
      <c r="F47" s="82">
        <f t="shared" si="2"/>
        <v>8598768.830000002</v>
      </c>
      <c r="G47" s="82">
        <f t="shared" si="2"/>
        <v>7585876.130000001</v>
      </c>
      <c r="H47" s="82">
        <f t="shared" si="2"/>
        <v>11775490.459999995</v>
      </c>
      <c r="I47" s="82">
        <f t="shared" si="2"/>
        <v>8067160.2700000005</v>
      </c>
      <c r="J47" s="82">
        <f t="shared" si="2"/>
        <v>7344930.9</v>
      </c>
      <c r="K47" s="82">
        <f t="shared" si="2"/>
        <v>8159256.43</v>
      </c>
      <c r="L47" s="82">
        <f t="shared" si="2"/>
        <v>11362567.23</v>
      </c>
      <c r="M47" s="82">
        <f t="shared" si="2"/>
        <v>13279671.31</v>
      </c>
      <c r="N47" s="82">
        <f t="shared" si="2"/>
        <v>10407872.43</v>
      </c>
      <c r="O47" s="82">
        <f t="shared" si="2"/>
        <v>8846143.26</v>
      </c>
      <c r="P47" s="82">
        <f t="shared" si="2"/>
        <v>113262033.29</v>
      </c>
    </row>
    <row r="48" spans="1:16" ht="13.5" thickTop="1">
      <c r="A48" s="58"/>
      <c r="B48" s="83"/>
      <c r="C48" s="84"/>
      <c r="D48" s="58"/>
      <c r="E48" s="58"/>
      <c r="F48" s="61"/>
      <c r="G48" s="62"/>
      <c r="H48" s="16"/>
      <c r="I48" s="16"/>
      <c r="J48" s="16"/>
      <c r="K48" s="17"/>
      <c r="L48" s="17"/>
      <c r="M48" s="16"/>
      <c r="N48" s="16"/>
      <c r="O48" s="16"/>
      <c r="P48" s="17"/>
    </row>
    <row r="49" spans="1:16" ht="16.5" thickBot="1">
      <c r="A49" s="24" t="s">
        <v>31</v>
      </c>
      <c r="B49" s="2"/>
      <c r="C49" s="19"/>
      <c r="D49" s="2"/>
      <c r="E49" s="2"/>
      <c r="F49" s="20"/>
      <c r="G49" s="5"/>
      <c r="H49" s="21"/>
      <c r="I49" s="21"/>
      <c r="J49" s="16"/>
      <c r="K49" s="22"/>
      <c r="L49" s="22"/>
      <c r="M49" s="7"/>
      <c r="N49" s="7"/>
      <c r="O49" s="7"/>
      <c r="P49" s="23"/>
    </row>
    <row r="50" spans="1:16" ht="26.25" thickBot="1">
      <c r="A50" s="63" t="s">
        <v>38</v>
      </c>
      <c r="B50" s="63" t="s">
        <v>39</v>
      </c>
      <c r="C50" s="25" t="s">
        <v>40</v>
      </c>
      <c r="D50" s="25" t="s">
        <v>41</v>
      </c>
      <c r="E50" s="25" t="s">
        <v>42</v>
      </c>
      <c r="F50" s="26" t="s">
        <v>43</v>
      </c>
      <c r="G50" s="25" t="s">
        <v>44</v>
      </c>
      <c r="H50" s="27" t="s">
        <v>45</v>
      </c>
      <c r="I50" s="27" t="s">
        <v>46</v>
      </c>
      <c r="J50" s="27" t="s">
        <v>47</v>
      </c>
      <c r="K50" s="26" t="s">
        <v>48</v>
      </c>
      <c r="L50" s="26" t="s">
        <v>49</v>
      </c>
      <c r="M50" s="28" t="s">
        <v>50</v>
      </c>
      <c r="N50" s="29" t="s">
        <v>51</v>
      </c>
      <c r="O50" s="30" t="s">
        <v>52</v>
      </c>
      <c r="P50" s="64" t="s">
        <v>53</v>
      </c>
    </row>
    <row r="51" spans="1:16" ht="12.75">
      <c r="A51" s="39" t="s">
        <v>2</v>
      </c>
      <c r="B51" s="40" t="s">
        <v>83</v>
      </c>
      <c r="C51" s="50">
        <v>0</v>
      </c>
      <c r="D51" s="42">
        <v>0</v>
      </c>
      <c r="E51" s="42">
        <v>0</v>
      </c>
      <c r="F51" s="42">
        <v>0</v>
      </c>
      <c r="G51" s="42">
        <v>137574.76</v>
      </c>
      <c r="H51" s="42">
        <v>42653.2</v>
      </c>
      <c r="I51" s="42">
        <v>70369.23</v>
      </c>
      <c r="J51" s="42">
        <v>144586.21</v>
      </c>
      <c r="K51" s="42">
        <v>31233.33</v>
      </c>
      <c r="L51" s="42">
        <v>0</v>
      </c>
      <c r="M51" s="42">
        <v>43758</v>
      </c>
      <c r="N51" s="42">
        <v>42057.14</v>
      </c>
      <c r="O51" s="70">
        <v>4645796.44</v>
      </c>
      <c r="P51" s="42">
        <f>SUM(C51:O51)</f>
        <v>5158028.3100000005</v>
      </c>
    </row>
    <row r="52" spans="1:16" ht="21">
      <c r="A52" s="39" t="s">
        <v>3</v>
      </c>
      <c r="B52" s="40" t="s">
        <v>84</v>
      </c>
      <c r="C52" s="42">
        <v>0</v>
      </c>
      <c r="D52" s="42">
        <v>41998</v>
      </c>
      <c r="E52" s="42">
        <v>101000</v>
      </c>
      <c r="F52" s="42">
        <v>0</v>
      </c>
      <c r="G52" s="42">
        <v>0</v>
      </c>
      <c r="H52" s="42">
        <v>126600</v>
      </c>
      <c r="I52" s="42">
        <v>0</v>
      </c>
      <c r="J52" s="42">
        <v>0</v>
      </c>
      <c r="K52" s="42">
        <v>0</v>
      </c>
      <c r="L52" s="42">
        <v>0</v>
      </c>
      <c r="M52" s="42">
        <v>83000</v>
      </c>
      <c r="N52" s="42">
        <v>0</v>
      </c>
      <c r="O52" s="76">
        <v>616499</v>
      </c>
      <c r="P52" s="42">
        <f>SUM(C52:O52)</f>
        <v>969097</v>
      </c>
    </row>
    <row r="53" spans="1:16" ht="21">
      <c r="A53" s="39" t="s">
        <v>4</v>
      </c>
      <c r="B53" s="40" t="s">
        <v>85</v>
      </c>
      <c r="C53" s="42">
        <v>0</v>
      </c>
      <c r="D53" s="42">
        <v>0</v>
      </c>
      <c r="E53" s="42">
        <v>0</v>
      </c>
      <c r="F53" s="42">
        <v>2921.28</v>
      </c>
      <c r="G53" s="42">
        <v>1760</v>
      </c>
      <c r="H53" s="42">
        <v>0</v>
      </c>
      <c r="I53" s="42">
        <v>0</v>
      </c>
      <c r="J53" s="42">
        <v>0</v>
      </c>
      <c r="K53" s="42">
        <v>382752.95</v>
      </c>
      <c r="L53" s="69">
        <v>0</v>
      </c>
      <c r="M53" s="69">
        <v>1408075.72</v>
      </c>
      <c r="N53" s="42">
        <v>0</v>
      </c>
      <c r="O53" s="42">
        <v>244563.32</v>
      </c>
      <c r="P53" s="42">
        <f>SUM(C53:O53)</f>
        <v>2040073.27</v>
      </c>
    </row>
    <row r="54" spans="1:16" ht="21">
      <c r="A54" s="39" t="s">
        <v>5</v>
      </c>
      <c r="B54" s="40" t="s">
        <v>86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818830.88</v>
      </c>
      <c r="K54" s="42">
        <v>0</v>
      </c>
      <c r="L54" s="42">
        <v>50600</v>
      </c>
      <c r="M54" s="42">
        <v>307692.5</v>
      </c>
      <c r="N54" s="42"/>
      <c r="O54" s="42">
        <v>1923490.4</v>
      </c>
      <c r="P54" s="42">
        <f>SUM(C54:O54)</f>
        <v>3100613.78</v>
      </c>
    </row>
    <row r="55" spans="1:16" ht="21">
      <c r="A55" s="39" t="s">
        <v>7</v>
      </c>
      <c r="B55" s="40" t="s">
        <v>87</v>
      </c>
      <c r="C55" s="42">
        <v>0</v>
      </c>
      <c r="D55" s="42">
        <v>50725.02</v>
      </c>
      <c r="E55" s="42">
        <v>23772.81</v>
      </c>
      <c r="F55" s="42">
        <v>20229</v>
      </c>
      <c r="G55" s="42">
        <v>123730.71</v>
      </c>
      <c r="H55" s="42">
        <v>45241.66</v>
      </c>
      <c r="I55" s="69">
        <v>47951.58</v>
      </c>
      <c r="J55" s="69">
        <v>154301.11</v>
      </c>
      <c r="K55" s="69">
        <v>242988.36</v>
      </c>
      <c r="L55" s="69">
        <v>126189.88</v>
      </c>
      <c r="M55" s="42">
        <v>100942.28</v>
      </c>
      <c r="N55" s="69">
        <v>251061.28</v>
      </c>
      <c r="O55" s="69">
        <v>835857.9</v>
      </c>
      <c r="P55" s="42">
        <f>SUM(C55:O55)</f>
        <v>2022991.5899999999</v>
      </c>
    </row>
    <row r="56" spans="1:16" ht="27" customHeight="1" thickBot="1">
      <c r="A56" s="56" t="s">
        <v>58</v>
      </c>
      <c r="B56" s="80"/>
      <c r="C56" s="85">
        <f>SUM(C51:C55)</f>
        <v>0</v>
      </c>
      <c r="D56" s="85">
        <f>SUM(D51:D55)</f>
        <v>92723.01999999999</v>
      </c>
      <c r="E56" s="85">
        <f aca="true" t="shared" si="3" ref="E56:O56">SUM(E51:E55)</f>
        <v>124772.81</v>
      </c>
      <c r="F56" s="82">
        <f t="shared" si="3"/>
        <v>23150.28</v>
      </c>
      <c r="G56" s="82">
        <f t="shared" si="3"/>
        <v>263065.47000000003</v>
      </c>
      <c r="H56" s="82">
        <f t="shared" si="3"/>
        <v>214494.86000000002</v>
      </c>
      <c r="I56" s="82">
        <f t="shared" si="3"/>
        <v>118320.81</v>
      </c>
      <c r="J56" s="82">
        <f t="shared" si="3"/>
        <v>1117718.2</v>
      </c>
      <c r="K56" s="82">
        <f>SUM(K51:K55)</f>
        <v>656974.64</v>
      </c>
      <c r="L56" s="82">
        <f t="shared" si="3"/>
        <v>176789.88</v>
      </c>
      <c r="M56" s="82">
        <f t="shared" si="3"/>
        <v>1943468.5</v>
      </c>
      <c r="N56" s="82">
        <f t="shared" si="3"/>
        <v>293118.42</v>
      </c>
      <c r="O56" s="82">
        <f t="shared" si="3"/>
        <v>8266207.0600000005</v>
      </c>
      <c r="P56" s="85">
        <f>SUM(P51:P55)</f>
        <v>13290803.95</v>
      </c>
    </row>
    <row r="57" spans="1:16" ht="13.5" thickTop="1">
      <c r="A57" s="58"/>
      <c r="B57" s="83"/>
      <c r="C57" s="84"/>
      <c r="D57" s="58"/>
      <c r="E57" s="58"/>
      <c r="F57" s="61"/>
      <c r="G57" s="62"/>
      <c r="H57" s="16"/>
      <c r="I57" s="16"/>
      <c r="J57" s="16"/>
      <c r="K57" s="17"/>
      <c r="L57" s="17"/>
      <c r="M57" s="16"/>
      <c r="N57" s="16"/>
      <c r="O57" s="16"/>
      <c r="P57" s="17"/>
    </row>
    <row r="58" spans="1:16" ht="16.5" thickBot="1">
      <c r="A58" s="24" t="s">
        <v>88</v>
      </c>
      <c r="B58" s="2"/>
      <c r="C58" s="19"/>
      <c r="D58" s="2"/>
      <c r="E58" s="2"/>
      <c r="F58" s="20"/>
      <c r="G58" s="5"/>
      <c r="H58" s="21"/>
      <c r="I58" s="21"/>
      <c r="J58" s="16"/>
      <c r="K58" s="22"/>
      <c r="L58" s="22"/>
      <c r="M58" s="7"/>
      <c r="N58" s="7"/>
      <c r="O58" s="7"/>
      <c r="P58" s="23"/>
    </row>
    <row r="59" spans="1:16" ht="26.25" thickBot="1">
      <c r="A59" s="63" t="s">
        <v>38</v>
      </c>
      <c r="B59" s="63" t="s">
        <v>39</v>
      </c>
      <c r="C59" s="86" t="s">
        <v>40</v>
      </c>
      <c r="D59" s="25" t="s">
        <v>41</v>
      </c>
      <c r="E59" s="25" t="s">
        <v>42</v>
      </c>
      <c r="F59" s="26" t="s">
        <v>43</v>
      </c>
      <c r="G59" s="25" t="s">
        <v>44</v>
      </c>
      <c r="H59" s="27" t="s">
        <v>45</v>
      </c>
      <c r="I59" s="27" t="s">
        <v>46</v>
      </c>
      <c r="J59" s="27" t="s">
        <v>47</v>
      </c>
      <c r="K59" s="26" t="s">
        <v>48</v>
      </c>
      <c r="L59" s="26" t="s">
        <v>49</v>
      </c>
      <c r="M59" s="28" t="s">
        <v>50</v>
      </c>
      <c r="N59" s="29" t="s">
        <v>51</v>
      </c>
      <c r="O59" s="30" t="s">
        <v>52</v>
      </c>
      <c r="P59" s="64" t="s">
        <v>53</v>
      </c>
    </row>
    <row r="60" spans="1:16" ht="21">
      <c r="A60" s="39" t="s">
        <v>2</v>
      </c>
      <c r="B60" s="40" t="s">
        <v>89</v>
      </c>
      <c r="C60" s="50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f>SUM(C60:O60)</f>
        <v>0</v>
      </c>
    </row>
    <row r="61" spans="1:16" ht="12.75">
      <c r="A61" s="39" t="s">
        <v>3</v>
      </c>
      <c r="B61" s="40" t="s">
        <v>90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f>SUM(C61:O61)</f>
        <v>0</v>
      </c>
    </row>
    <row r="62" spans="1:16" ht="13.5" thickBot="1">
      <c r="A62" s="56" t="s">
        <v>58</v>
      </c>
      <c r="B62" s="80"/>
      <c r="C62" s="85">
        <f>SUM(C60:C61)</f>
        <v>0</v>
      </c>
      <c r="D62" s="85">
        <f aca="true" t="shared" si="4" ref="D62:P62">SUM(D60:D61)</f>
        <v>0</v>
      </c>
      <c r="E62" s="85">
        <f t="shared" si="4"/>
        <v>0</v>
      </c>
      <c r="F62" s="85">
        <f t="shared" si="4"/>
        <v>0</v>
      </c>
      <c r="G62" s="85">
        <f t="shared" si="4"/>
        <v>0</v>
      </c>
      <c r="H62" s="85">
        <f t="shared" si="4"/>
        <v>0</v>
      </c>
      <c r="I62" s="85">
        <f t="shared" si="4"/>
        <v>0</v>
      </c>
      <c r="J62" s="85">
        <f t="shared" si="4"/>
        <v>0</v>
      </c>
      <c r="K62" s="85">
        <f t="shared" si="4"/>
        <v>0</v>
      </c>
      <c r="L62" s="85">
        <f t="shared" si="4"/>
        <v>0</v>
      </c>
      <c r="M62" s="85">
        <f t="shared" si="4"/>
        <v>0</v>
      </c>
      <c r="N62" s="85">
        <f t="shared" si="4"/>
        <v>0</v>
      </c>
      <c r="O62" s="85">
        <f t="shared" si="4"/>
        <v>0</v>
      </c>
      <c r="P62" s="85">
        <f t="shared" si="4"/>
        <v>0</v>
      </c>
    </row>
    <row r="63" spans="1:16" ht="13.5" thickTop="1">
      <c r="A63" s="8"/>
      <c r="B63" s="87"/>
      <c r="C63" s="88"/>
      <c r="D63" s="8"/>
      <c r="E63" s="8"/>
      <c r="F63" s="1"/>
      <c r="G63" s="89"/>
      <c r="H63" s="6"/>
      <c r="I63" s="6"/>
      <c r="J63" s="6"/>
      <c r="K63" s="7"/>
      <c r="L63" s="7"/>
      <c r="M63" s="7"/>
      <c r="N63" s="7"/>
      <c r="O63" s="7"/>
      <c r="P63" s="8"/>
    </row>
    <row r="64" spans="1:16" ht="12.75">
      <c r="A64" s="8"/>
      <c r="B64" s="87"/>
      <c r="C64" s="88"/>
      <c r="D64" s="8"/>
      <c r="E64" s="8"/>
      <c r="F64" s="8"/>
      <c r="G64" s="89"/>
      <c r="H64" s="6"/>
      <c r="I64" s="6"/>
      <c r="J64" s="6"/>
      <c r="K64" s="7"/>
      <c r="L64" s="7"/>
      <c r="M64" s="7"/>
      <c r="N64" s="7"/>
      <c r="O64" s="7"/>
      <c r="P64" s="8"/>
    </row>
    <row r="65" spans="1:16" ht="16.5" thickBot="1">
      <c r="A65" s="24" t="s">
        <v>91</v>
      </c>
      <c r="B65" s="2"/>
      <c r="C65" s="19"/>
      <c r="D65" s="2"/>
      <c r="E65" s="2"/>
      <c r="F65" s="20"/>
      <c r="G65" s="5"/>
      <c r="H65" s="21"/>
      <c r="I65" s="21"/>
      <c r="J65" s="16"/>
      <c r="K65" s="22"/>
      <c r="L65" s="22"/>
      <c r="M65" s="7"/>
      <c r="N65" s="7"/>
      <c r="O65" s="7"/>
      <c r="P65" s="23"/>
    </row>
    <row r="66" spans="1:16" ht="13.5" thickBot="1">
      <c r="A66" s="25" t="s">
        <v>38</v>
      </c>
      <c r="B66" s="25" t="s">
        <v>39</v>
      </c>
      <c r="C66" s="86" t="s">
        <v>40</v>
      </c>
      <c r="D66" s="25" t="s">
        <v>41</v>
      </c>
      <c r="E66" s="25" t="s">
        <v>42</v>
      </c>
      <c r="F66" s="26" t="s">
        <v>43</v>
      </c>
      <c r="G66" s="25" t="s">
        <v>44</v>
      </c>
      <c r="H66" s="27" t="s">
        <v>45</v>
      </c>
      <c r="I66" s="27" t="s">
        <v>46</v>
      </c>
      <c r="J66" s="27" t="s">
        <v>47</v>
      </c>
      <c r="K66" s="26" t="s">
        <v>48</v>
      </c>
      <c r="L66" s="26" t="s">
        <v>49</v>
      </c>
      <c r="M66" s="28" t="s">
        <v>50</v>
      </c>
      <c r="N66" s="29" t="s">
        <v>51</v>
      </c>
      <c r="O66" s="64" t="s">
        <v>53</v>
      </c>
      <c r="P66" s="90"/>
    </row>
    <row r="67" spans="1:16" ht="12.75">
      <c r="A67" s="47" t="s">
        <v>2</v>
      </c>
      <c r="B67" s="48" t="s">
        <v>32</v>
      </c>
      <c r="C67" s="65">
        <v>70015722.02</v>
      </c>
      <c r="D67" s="66">
        <v>56328539.62</v>
      </c>
      <c r="E67" s="66">
        <v>56778844.49</v>
      </c>
      <c r="F67" s="67">
        <v>56831743.02</v>
      </c>
      <c r="G67" s="68">
        <v>55949147.96</v>
      </c>
      <c r="H67" s="69">
        <v>69039371.86</v>
      </c>
      <c r="I67" s="69">
        <v>55553327.65</v>
      </c>
      <c r="J67" s="70">
        <v>56091774.97</v>
      </c>
      <c r="K67" s="69">
        <v>56401214.96</v>
      </c>
      <c r="L67" s="69">
        <v>56701795.17</v>
      </c>
      <c r="M67" s="69">
        <v>86098490.91</v>
      </c>
      <c r="N67" s="70">
        <v>55817443.12</v>
      </c>
      <c r="O67" s="94">
        <f>SUM(B67:N67)</f>
        <v>731607415.75</v>
      </c>
      <c r="P67" s="91"/>
    </row>
    <row r="68" spans="1:16" ht="12.75">
      <c r="A68" s="39" t="s">
        <v>3</v>
      </c>
      <c r="B68" s="40" t="s">
        <v>33</v>
      </c>
      <c r="C68" s="71">
        <v>8118685.75</v>
      </c>
      <c r="D68" s="72">
        <v>8160460.21</v>
      </c>
      <c r="E68" s="72">
        <v>8012702.07</v>
      </c>
      <c r="F68" s="78">
        <v>9415370.91</v>
      </c>
      <c r="G68" s="74">
        <v>7313355.13</v>
      </c>
      <c r="H68" s="75">
        <v>11846171.86</v>
      </c>
      <c r="I68" s="75">
        <v>7963644.68</v>
      </c>
      <c r="J68" s="76">
        <v>8978242.39</v>
      </c>
      <c r="K68" s="75">
        <v>8919900.09</v>
      </c>
      <c r="L68" s="75">
        <v>11770503.63</v>
      </c>
      <c r="M68" s="75">
        <v>8297690.88</v>
      </c>
      <c r="N68" s="76">
        <v>11389266.84</v>
      </c>
      <c r="O68" s="94">
        <f>SUM(B68:N68)</f>
        <v>110185994.44</v>
      </c>
      <c r="P68" s="92"/>
    </row>
    <row r="69" spans="1:16" ht="12.75">
      <c r="A69" s="39" t="s">
        <v>4</v>
      </c>
      <c r="B69" s="40" t="s">
        <v>92</v>
      </c>
      <c r="C69" s="42">
        <v>0</v>
      </c>
      <c r="D69" s="42">
        <v>561666.67</v>
      </c>
      <c r="E69" s="72">
        <v>280833.33</v>
      </c>
      <c r="F69" s="42">
        <v>280833.33</v>
      </c>
      <c r="G69" s="42">
        <v>416011.54</v>
      </c>
      <c r="H69" s="75">
        <v>1756380.83</v>
      </c>
      <c r="I69" s="75">
        <v>1344977.56</v>
      </c>
      <c r="J69" s="75">
        <v>804511.81</v>
      </c>
      <c r="K69" s="42">
        <v>367934.97</v>
      </c>
      <c r="L69" s="75">
        <v>890478.53</v>
      </c>
      <c r="M69" s="75">
        <v>762911.92</v>
      </c>
      <c r="N69" s="75">
        <v>963736.65</v>
      </c>
      <c r="O69" s="94">
        <f>SUM(B69:N69)</f>
        <v>8430277.14</v>
      </c>
      <c r="P69" s="93"/>
    </row>
    <row r="70" spans="1:16" ht="12.75">
      <c r="A70" s="39" t="s">
        <v>5</v>
      </c>
      <c r="B70" s="40" t="s">
        <v>93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94">
        <f>SUM(B70:N70)</f>
        <v>0</v>
      </c>
      <c r="P70" s="93"/>
    </row>
    <row r="71" spans="1:16" ht="26.25" customHeight="1" thickBot="1">
      <c r="A71" s="56" t="s">
        <v>58</v>
      </c>
      <c r="B71" s="80"/>
      <c r="C71" s="81">
        <f>SUM(C67:C70)</f>
        <v>78134407.77</v>
      </c>
      <c r="D71" s="82">
        <f aca="true" t="shared" si="5" ref="D71:N71">SUM(D67:D70)</f>
        <v>65050666.5</v>
      </c>
      <c r="E71" s="82">
        <f t="shared" si="5"/>
        <v>65072379.89</v>
      </c>
      <c r="F71" s="82">
        <f t="shared" si="5"/>
        <v>66527947.260000005</v>
      </c>
      <c r="G71" s="82">
        <f t="shared" si="5"/>
        <v>63678514.63</v>
      </c>
      <c r="H71" s="82">
        <f t="shared" si="5"/>
        <v>82641924.55</v>
      </c>
      <c r="I71" s="82">
        <f t="shared" si="5"/>
        <v>64861949.89</v>
      </c>
      <c r="J71" s="82">
        <f t="shared" si="5"/>
        <v>65874529.17</v>
      </c>
      <c r="K71" s="82">
        <f t="shared" si="5"/>
        <v>65689050.019999996</v>
      </c>
      <c r="L71" s="82">
        <f t="shared" si="5"/>
        <v>69362777.33</v>
      </c>
      <c r="M71" s="82">
        <f t="shared" si="5"/>
        <v>95159093.71</v>
      </c>
      <c r="N71" s="82">
        <f t="shared" si="5"/>
        <v>68170446.61</v>
      </c>
      <c r="O71" s="82">
        <f>SUM(O67:O70)</f>
        <v>850223687.33</v>
      </c>
      <c r="P71" s="93"/>
    </row>
    <row r="72" spans="1:16" ht="13.5" thickTop="1">
      <c r="A72" s="58"/>
      <c r="B72" s="83"/>
      <c r="C72" s="84"/>
      <c r="D72" s="58"/>
      <c r="E72" s="58"/>
      <c r="F72" s="61"/>
      <c r="G72" s="62"/>
      <c r="H72" s="16"/>
      <c r="I72" s="16"/>
      <c r="J72" s="16"/>
      <c r="K72" s="17"/>
      <c r="L72" s="17"/>
      <c r="M72" s="16"/>
      <c r="N72" s="16"/>
      <c r="O72" s="16"/>
      <c r="P72" s="17"/>
    </row>
    <row r="73" spans="1:16" ht="16.5" thickBot="1">
      <c r="A73" s="24" t="s">
        <v>94</v>
      </c>
      <c r="B73" s="2"/>
      <c r="C73" s="19"/>
      <c r="D73" s="2"/>
      <c r="E73" s="2"/>
      <c r="F73" s="20"/>
      <c r="G73" s="5"/>
      <c r="H73" s="21"/>
      <c r="I73" s="21"/>
      <c r="J73" s="16"/>
      <c r="K73" s="22"/>
      <c r="L73" s="22"/>
      <c r="M73" s="7"/>
      <c r="N73" s="7"/>
      <c r="O73" s="7"/>
      <c r="P73" s="23"/>
    </row>
    <row r="74" spans="1:16" ht="13.5" thickBot="1">
      <c r="A74" s="63" t="s">
        <v>38</v>
      </c>
      <c r="B74" s="63" t="s">
        <v>39</v>
      </c>
      <c r="C74" s="86" t="s">
        <v>40</v>
      </c>
      <c r="D74" s="25" t="s">
        <v>41</v>
      </c>
      <c r="E74" s="25" t="s">
        <v>42</v>
      </c>
      <c r="F74" s="26" t="s">
        <v>43</v>
      </c>
      <c r="G74" s="25" t="s">
        <v>44</v>
      </c>
      <c r="H74" s="27" t="s">
        <v>45</v>
      </c>
      <c r="I74" s="27" t="s">
        <v>46</v>
      </c>
      <c r="J74" s="27" t="s">
        <v>47</v>
      </c>
      <c r="K74" s="26" t="s">
        <v>48</v>
      </c>
      <c r="L74" s="26" t="s">
        <v>49</v>
      </c>
      <c r="M74" s="28" t="s">
        <v>50</v>
      </c>
      <c r="N74" s="29" t="s">
        <v>51</v>
      </c>
      <c r="O74" s="95" t="s">
        <v>53</v>
      </c>
      <c r="P74" s="96"/>
    </row>
    <row r="75" spans="1:16" ht="21">
      <c r="A75" s="39" t="s">
        <v>2</v>
      </c>
      <c r="B75" s="40" t="s">
        <v>95</v>
      </c>
      <c r="C75" s="50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97">
        <v>0</v>
      </c>
      <c r="O75" s="42">
        <f>SUM(B75:N75)</f>
        <v>0</v>
      </c>
      <c r="P75" s="96"/>
    </row>
    <row r="76" spans="1:16" ht="21">
      <c r="A76" s="39" t="s">
        <v>3</v>
      </c>
      <c r="B76" s="40" t="s">
        <v>96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97">
        <v>0</v>
      </c>
      <c r="O76" s="42">
        <f>SUM(B76:N76)</f>
        <v>0</v>
      </c>
      <c r="P76" s="96"/>
    </row>
    <row r="77" spans="1:16" ht="21">
      <c r="A77" s="39" t="s">
        <v>4</v>
      </c>
      <c r="B77" s="40" t="s">
        <v>97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97">
        <v>0</v>
      </c>
      <c r="O77" s="42">
        <f>SUM(B77:N77)</f>
        <v>0</v>
      </c>
      <c r="P77" s="96"/>
    </row>
    <row r="78" spans="1:16" ht="31.5">
      <c r="A78" s="39" t="s">
        <v>5</v>
      </c>
      <c r="B78" s="40" t="s">
        <v>98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97">
        <v>0</v>
      </c>
      <c r="O78" s="94">
        <f>SUM(B78:N78)</f>
        <v>0</v>
      </c>
      <c r="P78" s="96"/>
    </row>
    <row r="79" spans="1:16" ht="13.5" thickBot="1">
      <c r="A79" s="56" t="s">
        <v>58</v>
      </c>
      <c r="B79" s="80"/>
      <c r="C79" s="85">
        <f>SUM(C75:C78)</f>
        <v>0</v>
      </c>
      <c r="D79" s="85">
        <f aca="true" t="shared" si="6" ref="D79:O79">SUM(D75:D78)</f>
        <v>0</v>
      </c>
      <c r="E79" s="85">
        <f t="shared" si="6"/>
        <v>0</v>
      </c>
      <c r="F79" s="85">
        <f t="shared" si="6"/>
        <v>0</v>
      </c>
      <c r="G79" s="85">
        <f t="shared" si="6"/>
        <v>0</v>
      </c>
      <c r="H79" s="85">
        <f t="shared" si="6"/>
        <v>0</v>
      </c>
      <c r="I79" s="85">
        <f t="shared" si="6"/>
        <v>0</v>
      </c>
      <c r="J79" s="85">
        <f t="shared" si="6"/>
        <v>0</v>
      </c>
      <c r="K79" s="85">
        <f t="shared" si="6"/>
        <v>0</v>
      </c>
      <c r="L79" s="85">
        <f t="shared" si="6"/>
        <v>0</v>
      </c>
      <c r="M79" s="85">
        <f t="shared" si="6"/>
        <v>0</v>
      </c>
      <c r="N79" s="98">
        <f t="shared" si="6"/>
        <v>0</v>
      </c>
      <c r="O79" s="85">
        <f t="shared" si="6"/>
        <v>0</v>
      </c>
      <c r="P79" s="96"/>
    </row>
    <row r="80" ht="13.5" thickTop="1"/>
  </sheetData>
  <mergeCells count="3">
    <mergeCell ref="A1:A3"/>
    <mergeCell ref="A8:P8"/>
    <mergeCell ref="A9:P9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E14"/>
    </sheetView>
  </sheetViews>
  <sheetFormatPr defaultColWidth="9.140625" defaultRowHeight="12.75"/>
  <cols>
    <col min="1" max="1" width="27.8515625" style="0" customWidth="1"/>
  </cols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TRT</cp:lastModifiedBy>
  <cp:lastPrinted>2015-01-12T16:46:15Z</cp:lastPrinted>
  <dcterms:created xsi:type="dcterms:W3CDTF">2005-01-20T10:04:46Z</dcterms:created>
  <dcterms:modified xsi:type="dcterms:W3CDTF">2015-01-20T10:36:33Z</dcterms:modified>
  <cp:category/>
  <cp:version/>
  <cp:contentType/>
  <cp:contentStatus/>
</cp:coreProperties>
</file>